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30" windowWidth="11130" windowHeight="6060" activeTab="0"/>
  </bookViews>
  <sheets>
    <sheet name="PAYCL2014a" sheetId="1" r:id="rId1"/>
  </sheets>
  <definedNames>
    <definedName name="GRW">'PAYCL2014a'!$G$5</definedName>
    <definedName name="_xlnm.Print_Area" localSheetId="0">'PAYCL2014a'!$B$1:$G$40</definedName>
    <definedName name="Print_Area_MI">'PAYCL2014a'!$B$1:$H$29</definedName>
    <definedName name="TS">'PAYCL2014a'!$C$17</definedName>
  </definedNames>
  <calcPr fullCalcOnLoad="1"/>
</workbook>
</file>

<file path=xl/sharedStrings.xml><?xml version="1.0" encoding="utf-8"?>
<sst xmlns="http://schemas.openxmlformats.org/spreadsheetml/2006/main" count="180" uniqueCount="147">
  <si>
    <t>Tax</t>
  </si>
  <si>
    <t>Tables</t>
  </si>
  <si>
    <t>DOCUMENTATION</t>
  </si>
  <si>
    <t>Federal</t>
  </si>
  <si>
    <t>Single</t>
  </si>
  <si>
    <t>CELL ADDRESS</t>
  </si>
  <si>
    <t>EXPLANATION</t>
  </si>
  <si>
    <t>Exemptions</t>
  </si>
  <si>
    <t>m</t>
  </si>
  <si>
    <t/>
  </si>
  <si>
    <t>A5 thru B15</t>
  </si>
  <si>
    <t xml:space="preserve">Basic information is entered in column B as directed in </t>
  </si>
  <si>
    <t>Pay Cycle</t>
  </si>
  <si>
    <t>column A.  This information is used to perform the needed</t>
  </si>
  <si>
    <t>computations.</t>
  </si>
  <si>
    <t>Marital Status</t>
  </si>
  <si>
    <t>C7 thru F8</t>
  </si>
  <si>
    <t xml:space="preserve">Retirement information is entered in columns D and F as </t>
  </si>
  <si>
    <t>FIT</t>
  </si>
  <si>
    <t>directed in columns C and E.  This identifies the amount</t>
  </si>
  <si>
    <t>y</t>
  </si>
  <si>
    <t>Married</t>
  </si>
  <si>
    <t>of wages which is not subject to taxes.</t>
  </si>
  <si>
    <t>Gross Wages</t>
  </si>
  <si>
    <t>Retirement</t>
  </si>
  <si>
    <t>Rate</t>
  </si>
  <si>
    <t>G4 thru G8</t>
  </si>
  <si>
    <t xml:space="preserve">These cells compare entries for pay cycle and marital </t>
  </si>
  <si>
    <t>Units</t>
  </si>
  <si>
    <t>and</t>
  </si>
  <si>
    <t xml:space="preserve">status to constants.  Based on the comparisons, different </t>
  </si>
  <si>
    <t>SIT</t>
  </si>
  <si>
    <t>G39 thru G45</t>
  </si>
  <si>
    <t xml:space="preserve">values are placed in cell G8.  This value is used as </t>
  </si>
  <si>
    <t>Add FIT</t>
  </si>
  <si>
    <t>explained in the next group.</t>
  </si>
  <si>
    <t>Add SIT</t>
  </si>
  <si>
    <t>DCP</t>
  </si>
  <si>
    <t>H8 thru K16</t>
  </si>
  <si>
    <t>These cells use the value in G8 to select the correct</t>
  </si>
  <si>
    <t>value from the four tables listed in L1 thru N37.</t>
  </si>
  <si>
    <t>H40 thru k45</t>
  </si>
  <si>
    <t>G9 and G44</t>
  </si>
  <si>
    <t xml:space="preserve">This cell compares the pay cycle value to a standard to </t>
  </si>
  <si>
    <t xml:space="preserve">  Tax Sheltered</t>
  </si>
  <si>
    <t>Deductions</t>
  </si>
  <si>
    <t>determine the proper amount to allow for each exemption.</t>
  </si>
  <si>
    <t xml:space="preserve">   (Y or N)</t>
  </si>
  <si>
    <t>G10 and G45</t>
  </si>
  <si>
    <t xml:space="preserve">This cell computes taxable wages by taking total gross </t>
  </si>
  <si>
    <t>DCP $ Withheld</t>
  </si>
  <si>
    <t xml:space="preserve">less tax-sheltered retirement less the withholding amount </t>
  </si>
  <si>
    <t>times the number of exemptions.</t>
  </si>
  <si>
    <t>G11 thru G12</t>
  </si>
  <si>
    <t>These cells determine if the retirement is tax sheltered</t>
  </si>
  <si>
    <t>Health(Sec 125)</t>
  </si>
  <si>
    <t>and then determines the amount for use in cell G10 &amp; G45.</t>
  </si>
  <si>
    <t>Dental(Sec 125)</t>
  </si>
  <si>
    <t>State Contribution</t>
  </si>
  <si>
    <t>E11</t>
  </si>
  <si>
    <t>Comutes total gross by multiplying the values enter in</t>
  </si>
  <si>
    <t>Dep Cr(Sec 125)</t>
  </si>
  <si>
    <t>column B.</t>
  </si>
  <si>
    <t>Life</t>
  </si>
  <si>
    <t>E14</t>
  </si>
  <si>
    <t xml:space="preserve">Computes federal tax withholding by using the table </t>
  </si>
  <si>
    <t>Credit Un</t>
  </si>
  <si>
    <t>in cells H8 thru K16 and vlookup to identify the proper</t>
  </si>
  <si>
    <t>Other</t>
  </si>
  <si>
    <t>values to use in the formula.</t>
  </si>
  <si>
    <t>E15</t>
  </si>
  <si>
    <t>Computes state income tax withholding using cells H40 thru K45.</t>
  </si>
  <si>
    <t xml:space="preserve">State </t>
  </si>
  <si>
    <t>E16</t>
  </si>
  <si>
    <t>Computes social security using the standard percentage.</t>
  </si>
  <si>
    <t>E17</t>
  </si>
  <si>
    <t xml:space="preserve">percentage entered and adding the fixed amount. </t>
  </si>
  <si>
    <t>G23 thru H31</t>
  </si>
  <si>
    <t>Computes the proper amount to hold for garnishment.</t>
  </si>
  <si>
    <t>G23-H26 is for biweekly and G28-H31 is for monthly.</t>
  </si>
  <si>
    <t>G23  G28</t>
  </si>
  <si>
    <t>Compares disposable income to protected amount for the</t>
  </si>
  <si>
    <t>pay period to see if any can be held.</t>
  </si>
  <si>
    <t>State</t>
  </si>
  <si>
    <t>G24  G29</t>
  </si>
  <si>
    <t xml:space="preserve">Determines if 25% or amount exceeding protected amount </t>
  </si>
  <si>
    <t>should be held.</t>
  </si>
  <si>
    <t>H24  H29</t>
  </si>
  <si>
    <t>Selects the lessor of the above two amounts.  Non head of</t>
  </si>
  <si>
    <t>household amount.</t>
  </si>
  <si>
    <t>G25  G30</t>
  </si>
  <si>
    <t>Determines if 15% or amount exceeding protected amount</t>
  </si>
  <si>
    <t>G26  G31</t>
  </si>
  <si>
    <t>Determines if amount exceeding protected amount or 15%</t>
  </si>
  <si>
    <t>H26  H31</t>
  </si>
  <si>
    <t>Select the lessor of the above two amounts and the G23/G28</t>
  </si>
  <si>
    <t>amount.  Head of household amount.</t>
  </si>
  <si>
    <t xml:space="preserve">The G25-G26/G30-G31 comparisons are necessary as the </t>
  </si>
  <si>
    <t>Disposable Income approaches the break point, the 15%</t>
  </si>
  <si>
    <t>computaion will become lower than the difference which is</t>
  </si>
  <si>
    <t>based on 25%.</t>
  </si>
  <si>
    <t>E33</t>
  </si>
  <si>
    <t>Selects the proper 15% amount depending upon the pay cycle.</t>
  </si>
  <si>
    <t>E35</t>
  </si>
  <si>
    <t>Selects the proper 25% amount depending upon the pay cycle.</t>
  </si>
  <si>
    <t>Vision(Sec125)</t>
  </si>
  <si>
    <t>Parking(Sec 132)</t>
  </si>
  <si>
    <t>Withholding</t>
  </si>
  <si>
    <t>Allowance</t>
  </si>
  <si>
    <t>Federal Monthly</t>
  </si>
  <si>
    <t>State Monthly</t>
  </si>
  <si>
    <t>H9</t>
  </si>
  <si>
    <t>Uses values from B7 to determine the proper federal withholding</t>
  </si>
  <si>
    <t xml:space="preserve"> allowance amount obtained from cells N84 and N85.</t>
  </si>
  <si>
    <t>H44</t>
  </si>
  <si>
    <t>Uses values from B7 to determine the proper state withholding</t>
  </si>
  <si>
    <t xml:space="preserve"> allowance amount obtained from cells N87 and N88.</t>
  </si>
  <si>
    <t>Federal Taxable Wages</t>
  </si>
  <si>
    <t>Retirement Wages</t>
  </si>
  <si>
    <t>FICA Wages</t>
  </si>
  <si>
    <t>Annual</t>
  </si>
  <si>
    <t>Federal Annual</t>
  </si>
  <si>
    <t>State Annual</t>
  </si>
  <si>
    <t xml:space="preserve">Computes retirement by multiplying the gross by the </t>
  </si>
  <si>
    <t>Minimum Wages Subject</t>
  </si>
  <si>
    <t>Biweekly</t>
  </si>
  <si>
    <t>Revised 8/24/09</t>
  </si>
  <si>
    <t>Monthly</t>
  </si>
  <si>
    <t>Wage Range</t>
  </si>
  <si>
    <t>Excludable</t>
  </si>
  <si>
    <t xml:space="preserve">                   % Withheld</t>
  </si>
  <si>
    <t>Non-Excludable</t>
  </si>
  <si>
    <t>Child Support</t>
  </si>
  <si>
    <t>Optional Deductions</t>
  </si>
  <si>
    <t>Tax Sheltered Deductions</t>
  </si>
  <si>
    <t xml:space="preserve">Net Take Home Pay </t>
  </si>
  <si>
    <t>Med Rm (Sect 125)</t>
  </si>
  <si>
    <t>Employee Name</t>
  </si>
  <si>
    <t>Address Book #</t>
  </si>
  <si>
    <r>
      <t xml:space="preserve">       ( </t>
    </r>
    <r>
      <rPr>
        <b/>
        <sz val="10"/>
        <rFont val="Arial MT"/>
        <family val="0"/>
      </rPr>
      <t>S</t>
    </r>
    <r>
      <rPr>
        <sz val="10"/>
        <rFont val="Arial MT"/>
        <family val="0"/>
      </rPr>
      <t xml:space="preserve"> - Single or </t>
    </r>
    <r>
      <rPr>
        <b/>
        <sz val="10"/>
        <rFont val="Arial MT"/>
        <family val="0"/>
      </rPr>
      <t>M</t>
    </r>
    <r>
      <rPr>
        <sz val="10"/>
        <rFont val="Arial MT"/>
        <family val="0"/>
      </rPr>
      <t xml:space="preserve"> - Married )</t>
    </r>
  </si>
  <si>
    <t>Federal Soc Sec</t>
  </si>
  <si>
    <t>Federal Medicare</t>
  </si>
  <si>
    <r>
      <rPr>
        <b/>
        <sz val="10"/>
        <rFont val="Arial MT"/>
        <family val="0"/>
      </rPr>
      <t>A</t>
    </r>
    <r>
      <rPr>
        <sz val="10"/>
        <rFont val="Arial MT"/>
        <family val="0"/>
      </rPr>
      <t xml:space="preserve">-Annual, </t>
    </r>
    <r>
      <rPr>
        <b/>
        <sz val="10"/>
        <rFont val="Arial MT"/>
        <family val="0"/>
      </rPr>
      <t>B</t>
    </r>
    <r>
      <rPr>
        <sz val="10"/>
        <rFont val="Arial MT"/>
        <family val="0"/>
      </rPr>
      <t xml:space="preserve">-bi-weekly, </t>
    </r>
    <r>
      <rPr>
        <b/>
        <sz val="10"/>
        <rFont val="Arial MT"/>
        <family val="0"/>
      </rPr>
      <t>M</t>
    </r>
    <r>
      <rPr>
        <sz val="10"/>
        <rFont val="Arial MT"/>
        <family val="0"/>
      </rPr>
      <t>-monthly</t>
    </r>
  </si>
  <si>
    <t>b</t>
  </si>
  <si>
    <t>s</t>
  </si>
  <si>
    <t>updateed 20120105</t>
  </si>
  <si>
    <t>Payroll Calculation for 2014a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</si>
</sst>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_)"/>
    <numFmt numFmtId="165" formatCode="0_)"/>
    <numFmt numFmtId="166" formatCode="General_)"/>
    <numFmt numFmtId="167" formatCode="#,##0.000_);\(#,##0.000\)"/>
    <numFmt numFmtId="168" formatCode="0.00_)"/>
    <numFmt numFmtId="169" formatCode="0.0000_)"/>
    <numFmt numFmtId="170" formatCode="0.0000"/>
    <numFmt numFmtId="171" formatCode="#,##0.00000_);\(#,##0.00000\)"/>
    <numFmt numFmtId="172" formatCode="&quot;$&quot;#,##0.00"/>
    <numFmt numFmtId="173" formatCode="&quot;$&quot;#,##0.000_);\(&quot;$&quot;#,##0.000\)"/>
  </numFmts>
  <fonts count="41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0"/>
      <name val="Arial MT"/>
      <family val="0"/>
    </font>
    <font>
      <b/>
      <sz val="10"/>
      <name val="Arial MT"/>
      <family val="0"/>
    </font>
    <font>
      <sz val="6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92D05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dashDot"/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 style="thin"/>
      <top>
        <color indexed="63"/>
      </top>
      <bottom style="dashDot"/>
    </border>
    <border>
      <left style="thin"/>
      <right>
        <color indexed="63"/>
      </right>
      <top style="dashDot"/>
      <bottom style="dashDot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dashDot"/>
      <bottom style="dashDot"/>
    </border>
    <border>
      <left>
        <color indexed="63"/>
      </left>
      <right style="thin"/>
      <top style="dashDot"/>
      <bottom style="dashDot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Dashed"/>
      <bottom style="mediumDashed"/>
    </border>
    <border>
      <left>
        <color indexed="63"/>
      </left>
      <right style="thin"/>
      <top style="mediumDashed"/>
      <bottom style="mediumDashed"/>
    </border>
    <border>
      <left>
        <color indexed="63"/>
      </left>
      <right>
        <color indexed="63"/>
      </right>
      <top style="mediumDashed"/>
      <bottom style="mediumDashed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2">
    <xf numFmtId="16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10">
    <xf numFmtId="168" fontId="0" fillId="0" borderId="0" xfId="0" applyAlignment="1">
      <alignment/>
    </xf>
    <xf numFmtId="168" fontId="0" fillId="0" borderId="0" xfId="0" applyAlignment="1">
      <alignment horizontal="left"/>
    </xf>
    <xf numFmtId="164" fontId="0" fillId="0" borderId="0" xfId="0" applyNumberFormat="1" applyAlignment="1" applyProtection="1">
      <alignment/>
      <protection/>
    </xf>
    <xf numFmtId="164" fontId="0" fillId="0" borderId="0" xfId="0" applyNumberFormat="1" applyAlignment="1" applyProtection="1">
      <alignment horizontal="left"/>
      <protection/>
    </xf>
    <xf numFmtId="169" fontId="0" fillId="0" borderId="0" xfId="0" applyNumberFormat="1" applyAlignment="1" applyProtection="1">
      <alignment/>
      <protection/>
    </xf>
    <xf numFmtId="169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Alignment="1">
      <alignment horizontal="left"/>
    </xf>
    <xf numFmtId="168" fontId="5" fillId="0" borderId="0" xfId="0" applyFont="1" applyAlignment="1">
      <alignment horizontal="left"/>
    </xf>
    <xf numFmtId="165" fontId="5" fillId="0" borderId="0" xfId="0" applyNumberFormat="1" applyFont="1" applyAlignment="1" applyProtection="1">
      <alignment/>
      <protection/>
    </xf>
    <xf numFmtId="168" fontId="5" fillId="0" borderId="0" xfId="0" applyFont="1" applyAlignment="1">
      <alignment/>
    </xf>
    <xf numFmtId="4" fontId="5" fillId="0" borderId="0" xfId="0" applyNumberFormat="1" applyFont="1" applyAlignment="1">
      <alignment/>
    </xf>
    <xf numFmtId="164" fontId="5" fillId="0" borderId="0" xfId="0" applyNumberFormat="1" applyFont="1" applyAlignment="1" applyProtection="1">
      <alignment/>
      <protection/>
    </xf>
    <xf numFmtId="166" fontId="5" fillId="0" borderId="0" xfId="0" applyNumberFormat="1" applyFont="1" applyAlignment="1" applyProtection="1">
      <alignment/>
      <protection/>
    </xf>
    <xf numFmtId="7" fontId="5" fillId="0" borderId="0" xfId="0" applyNumberFormat="1" applyFont="1" applyAlignment="1" applyProtection="1">
      <alignment/>
      <protection/>
    </xf>
    <xf numFmtId="39" fontId="5" fillId="0" borderId="0" xfId="0" applyNumberFormat="1" applyFont="1" applyAlignment="1" applyProtection="1">
      <alignment/>
      <protection/>
    </xf>
    <xf numFmtId="4" fontId="5" fillId="0" borderId="0" xfId="0" applyNumberFormat="1" applyFont="1" applyAlignment="1">
      <alignment horizontal="left"/>
    </xf>
    <xf numFmtId="164" fontId="5" fillId="0" borderId="0" xfId="0" applyNumberFormat="1" applyFont="1" applyAlignment="1" applyProtection="1">
      <alignment horizontal="left"/>
      <protection/>
    </xf>
    <xf numFmtId="165" fontId="5" fillId="0" borderId="0" xfId="0" applyNumberFormat="1" applyFont="1" applyAlignment="1">
      <alignment/>
    </xf>
    <xf numFmtId="169" fontId="5" fillId="0" borderId="0" xfId="0" applyNumberFormat="1" applyFont="1" applyAlignment="1" applyProtection="1">
      <alignment/>
      <protection/>
    </xf>
    <xf numFmtId="168" fontId="5" fillId="4" borderId="0" xfId="0" applyFont="1" applyFill="1" applyBorder="1" applyAlignment="1">
      <alignment/>
    </xf>
    <xf numFmtId="168" fontId="5" fillId="0" borderId="0" xfId="0" applyFont="1" applyBorder="1" applyAlignment="1">
      <alignment/>
    </xf>
    <xf numFmtId="172" fontId="5" fillId="10" borderId="10" xfId="0" applyNumberFormat="1" applyFont="1" applyFill="1" applyBorder="1" applyAlignment="1">
      <alignment/>
    </xf>
    <xf numFmtId="168" fontId="0" fillId="33" borderId="11" xfId="0" applyFill="1" applyBorder="1" applyAlignment="1">
      <alignment/>
    </xf>
    <xf numFmtId="168" fontId="0" fillId="33" borderId="12" xfId="0" applyFill="1" applyBorder="1" applyAlignment="1">
      <alignment/>
    </xf>
    <xf numFmtId="168" fontId="0" fillId="33" borderId="12" xfId="0" applyFill="1" applyBorder="1" applyAlignment="1" quotePrefix="1">
      <alignment horizontal="left"/>
    </xf>
    <xf numFmtId="168" fontId="5" fillId="10" borderId="10" xfId="0" applyFont="1" applyFill="1" applyBorder="1" applyAlignment="1">
      <alignment horizontal="left"/>
    </xf>
    <xf numFmtId="168" fontId="5" fillId="10" borderId="10" xfId="0" applyFont="1" applyFill="1" applyBorder="1" applyAlignment="1">
      <alignment/>
    </xf>
    <xf numFmtId="168" fontId="5" fillId="10" borderId="10" xfId="0" applyFont="1" applyFill="1" applyBorder="1" applyAlignment="1">
      <alignment horizontal="right"/>
    </xf>
    <xf numFmtId="168" fontId="5" fillId="10" borderId="10" xfId="0" applyFont="1" applyFill="1" applyBorder="1" applyAlignment="1">
      <alignment horizontal="center"/>
    </xf>
    <xf numFmtId="168" fontId="5" fillId="5" borderId="10" xfId="0" applyFont="1" applyFill="1" applyBorder="1" applyAlignment="1">
      <alignment/>
    </xf>
    <xf numFmtId="168" fontId="5" fillId="5" borderId="0" xfId="0" applyFont="1" applyFill="1" applyBorder="1" applyAlignment="1">
      <alignment horizontal="left"/>
    </xf>
    <xf numFmtId="168" fontId="0" fillId="14" borderId="13" xfId="0" applyFill="1" applyBorder="1" applyAlignment="1">
      <alignment horizontal="left"/>
    </xf>
    <xf numFmtId="168" fontId="5" fillId="14" borderId="13" xfId="0" applyFont="1" applyFill="1" applyBorder="1" applyAlignment="1">
      <alignment horizontal="left"/>
    </xf>
    <xf numFmtId="168" fontId="5" fillId="14" borderId="14" xfId="0" applyFont="1" applyFill="1" applyBorder="1" applyAlignment="1">
      <alignment horizontal="left"/>
    </xf>
    <xf numFmtId="0" fontId="5" fillId="4" borderId="0" xfId="0" applyNumberFormat="1" applyFont="1" applyFill="1" applyBorder="1" applyAlignment="1">
      <alignment/>
    </xf>
    <xf numFmtId="168" fontId="5" fillId="5" borderId="0" xfId="0" applyFont="1" applyFill="1" applyBorder="1" applyAlignment="1">
      <alignment/>
    </xf>
    <xf numFmtId="39" fontId="5" fillId="5" borderId="15" xfId="0" applyNumberFormat="1" applyFont="1" applyFill="1" applyBorder="1" applyAlignment="1" applyProtection="1">
      <alignment/>
      <protection/>
    </xf>
    <xf numFmtId="2" fontId="5" fillId="5" borderId="15" xfId="0" applyNumberFormat="1" applyFont="1" applyFill="1" applyBorder="1" applyAlignment="1" applyProtection="1">
      <alignment/>
      <protection/>
    </xf>
    <xf numFmtId="168" fontId="5" fillId="5" borderId="15" xfId="0" applyFont="1" applyFill="1" applyBorder="1" applyAlignment="1">
      <alignment/>
    </xf>
    <xf numFmtId="168" fontId="5" fillId="5" borderId="16" xfId="0" applyFont="1" applyFill="1" applyBorder="1" applyAlignment="1">
      <alignment/>
    </xf>
    <xf numFmtId="172" fontId="5" fillId="5" borderId="10" xfId="0" applyNumberFormat="1" applyFont="1" applyFill="1" applyBorder="1" applyAlignment="1">
      <alignment/>
    </xf>
    <xf numFmtId="172" fontId="5" fillId="10" borderId="10" xfId="0" applyNumberFormat="1" applyFont="1" applyFill="1" applyBorder="1" applyAlignment="1">
      <alignment horizontal="right"/>
    </xf>
    <xf numFmtId="173" fontId="5" fillId="10" borderId="10" xfId="0" applyNumberFormat="1" applyFont="1" applyFill="1" applyBorder="1" applyAlignment="1" applyProtection="1">
      <alignment/>
      <protection/>
    </xf>
    <xf numFmtId="172" fontId="5" fillId="10" borderId="10" xfId="0" applyNumberFormat="1" applyFont="1" applyFill="1" applyBorder="1" applyAlignment="1" applyProtection="1">
      <alignment/>
      <protection/>
    </xf>
    <xf numFmtId="168" fontId="5" fillId="19" borderId="10" xfId="0" applyFont="1" applyFill="1" applyBorder="1" applyAlignment="1">
      <alignment/>
    </xf>
    <xf numFmtId="172" fontId="5" fillId="19" borderId="10" xfId="0" applyNumberFormat="1" applyFont="1" applyFill="1" applyBorder="1" applyAlignment="1">
      <alignment/>
    </xf>
    <xf numFmtId="165" fontId="5" fillId="10" borderId="14" xfId="0" applyNumberFormat="1" applyFont="1" applyFill="1" applyBorder="1" applyAlignment="1" applyProtection="1">
      <alignment/>
      <protection/>
    </xf>
    <xf numFmtId="168" fontId="0" fillId="14" borderId="13" xfId="0" applyFill="1" applyBorder="1" applyAlignment="1">
      <alignment/>
    </xf>
    <xf numFmtId="168" fontId="5" fillId="33" borderId="17" xfId="0" applyFont="1" applyFill="1" applyBorder="1" applyAlignment="1">
      <alignment horizontal="left"/>
    </xf>
    <xf numFmtId="168" fontId="5" fillId="5" borderId="18" xfId="0" applyFont="1" applyFill="1" applyBorder="1" applyAlignment="1">
      <alignment/>
    </xf>
    <xf numFmtId="168" fontId="5" fillId="5" borderId="19" xfId="0" applyFont="1" applyFill="1" applyBorder="1" applyAlignment="1">
      <alignment horizontal="left"/>
    </xf>
    <xf numFmtId="39" fontId="5" fillId="5" borderId="20" xfId="0" applyNumberFormat="1" applyFont="1" applyFill="1" applyBorder="1" applyAlignment="1" applyProtection="1">
      <alignment/>
      <protection/>
    </xf>
    <xf numFmtId="2" fontId="5" fillId="5" borderId="20" xfId="0" applyNumberFormat="1" applyFont="1" applyFill="1" applyBorder="1" applyAlignment="1">
      <alignment/>
    </xf>
    <xf numFmtId="168" fontId="5" fillId="19" borderId="21" xfId="0" applyFont="1" applyFill="1" applyBorder="1" applyAlignment="1">
      <alignment/>
    </xf>
    <xf numFmtId="168" fontId="0" fillId="0" borderId="0" xfId="0" applyAlignment="1">
      <alignment horizontal="right"/>
    </xf>
    <xf numFmtId="168" fontId="5" fillId="4" borderId="22" xfId="0" applyFont="1" applyFill="1" applyBorder="1" applyAlignment="1">
      <alignment/>
    </xf>
    <xf numFmtId="168" fontId="5" fillId="4" borderId="23" xfId="0" applyFont="1" applyFill="1" applyBorder="1" applyAlignment="1">
      <alignment/>
    </xf>
    <xf numFmtId="0" fontId="5" fillId="10" borderId="13" xfId="0" applyNumberFormat="1" applyFont="1" applyFill="1" applyBorder="1" applyAlignment="1">
      <alignment horizontal="right"/>
    </xf>
    <xf numFmtId="172" fontId="5" fillId="10" borderId="13" xfId="0" applyNumberFormat="1" applyFont="1" applyFill="1" applyBorder="1" applyAlignment="1">
      <alignment/>
    </xf>
    <xf numFmtId="168" fontId="5" fillId="4" borderId="24" xfId="0" applyFont="1" applyFill="1" applyBorder="1" applyAlignment="1">
      <alignment/>
    </xf>
    <xf numFmtId="7" fontId="5" fillId="4" borderId="0" xfId="0" applyNumberFormat="1" applyFont="1" applyFill="1" applyBorder="1" applyAlignment="1">
      <alignment/>
    </xf>
    <xf numFmtId="7" fontId="5" fillId="4" borderId="25" xfId="0" applyNumberFormat="1" applyFont="1" applyFill="1" applyBorder="1" applyAlignment="1">
      <alignment/>
    </xf>
    <xf numFmtId="0" fontId="5" fillId="4" borderId="25" xfId="0" applyNumberFormat="1" applyFont="1" applyFill="1" applyBorder="1" applyAlignment="1">
      <alignment/>
    </xf>
    <xf numFmtId="168" fontId="5" fillId="4" borderId="26" xfId="0" applyFont="1" applyFill="1" applyBorder="1" applyAlignment="1">
      <alignment/>
    </xf>
    <xf numFmtId="168" fontId="0" fillId="0" borderId="24" xfId="0" applyFill="1" applyBorder="1" applyAlignment="1">
      <alignment/>
    </xf>
    <xf numFmtId="168" fontId="0" fillId="0" borderId="27" xfId="0" applyBorder="1" applyAlignment="1">
      <alignment/>
    </xf>
    <xf numFmtId="168" fontId="0" fillId="0" borderId="22" xfId="0" applyBorder="1" applyAlignment="1">
      <alignment/>
    </xf>
    <xf numFmtId="168" fontId="0" fillId="0" borderId="23" xfId="0" applyBorder="1" applyAlignment="1">
      <alignment/>
    </xf>
    <xf numFmtId="168" fontId="0" fillId="0" borderId="28" xfId="0" applyBorder="1" applyAlignment="1">
      <alignment/>
    </xf>
    <xf numFmtId="168" fontId="0" fillId="0" borderId="0" xfId="0" applyBorder="1" applyAlignment="1">
      <alignment/>
    </xf>
    <xf numFmtId="168" fontId="0" fillId="0" borderId="24" xfId="0" applyBorder="1" applyAlignment="1">
      <alignment/>
    </xf>
    <xf numFmtId="168" fontId="5" fillId="0" borderId="29" xfId="0" applyFont="1" applyBorder="1" applyAlignment="1">
      <alignment/>
    </xf>
    <xf numFmtId="168" fontId="5" fillId="0" borderId="25" xfId="0" applyFont="1" applyBorder="1" applyAlignment="1">
      <alignment/>
    </xf>
    <xf numFmtId="168" fontId="5" fillId="0" borderId="26" xfId="0" applyFont="1" applyBorder="1" applyAlignment="1">
      <alignment/>
    </xf>
    <xf numFmtId="2" fontId="5" fillId="4" borderId="0" xfId="0" applyNumberFormat="1" applyFont="1" applyFill="1" applyBorder="1" applyAlignment="1">
      <alignment/>
    </xf>
    <xf numFmtId="7" fontId="5" fillId="4" borderId="0" xfId="0" applyNumberFormat="1" applyFont="1" applyFill="1" applyBorder="1" applyAlignment="1" applyProtection="1">
      <alignment/>
      <protection/>
    </xf>
    <xf numFmtId="7" fontId="5" fillId="5" borderId="30" xfId="0" applyNumberFormat="1" applyFont="1" applyFill="1" applyBorder="1" applyAlignment="1" applyProtection="1">
      <alignment/>
      <protection/>
    </xf>
    <xf numFmtId="168" fontId="5" fillId="5" borderId="15" xfId="0" applyFont="1" applyFill="1" applyBorder="1" applyAlignment="1">
      <alignment horizontal="right"/>
    </xf>
    <xf numFmtId="168" fontId="6" fillId="19" borderId="10" xfId="0" applyFont="1" applyFill="1" applyBorder="1" applyAlignment="1">
      <alignment horizontal="center"/>
    </xf>
    <xf numFmtId="168" fontId="6" fillId="19" borderId="31" xfId="0" applyFont="1" applyFill="1" applyBorder="1" applyAlignment="1">
      <alignment horizontal="left"/>
    </xf>
    <xf numFmtId="7" fontId="6" fillId="19" borderId="32" xfId="0" applyNumberFormat="1" applyFont="1" applyFill="1" applyBorder="1" applyAlignment="1" applyProtection="1">
      <alignment/>
      <protection/>
    </xf>
    <xf numFmtId="168" fontId="5" fillId="5" borderId="0" xfId="0" applyFont="1" applyFill="1" applyAlignment="1">
      <alignment/>
    </xf>
    <xf numFmtId="168" fontId="7" fillId="5" borderId="33" xfId="0" applyFont="1" applyFill="1" applyBorder="1" applyAlignment="1">
      <alignment horizontal="center"/>
    </xf>
    <xf numFmtId="168" fontId="0" fillId="0" borderId="34" xfId="0" applyBorder="1" applyAlignment="1">
      <alignment/>
    </xf>
    <xf numFmtId="168" fontId="0" fillId="0" borderId="35" xfId="0" applyBorder="1" applyAlignment="1">
      <alignment/>
    </xf>
    <xf numFmtId="1" fontId="0" fillId="0" borderId="35" xfId="0" applyNumberFormat="1" applyBorder="1" applyAlignment="1">
      <alignment/>
    </xf>
    <xf numFmtId="168" fontId="6" fillId="10" borderId="14" xfId="0" applyFont="1" applyFill="1" applyBorder="1" applyAlignment="1">
      <alignment horizontal="left"/>
    </xf>
    <xf numFmtId="168" fontId="6" fillId="19" borderId="10" xfId="0" applyFont="1" applyFill="1" applyBorder="1" applyAlignment="1">
      <alignment horizontal="left"/>
    </xf>
    <xf numFmtId="168" fontId="5" fillId="19" borderId="36" xfId="0" applyFont="1" applyFill="1" applyBorder="1" applyAlignment="1">
      <alignment/>
    </xf>
    <xf numFmtId="168" fontId="5" fillId="19" borderId="37" xfId="0" applyFont="1" applyFill="1" applyBorder="1" applyAlignment="1">
      <alignment/>
    </xf>
    <xf numFmtId="168" fontId="6" fillId="19" borderId="38" xfId="0" applyFont="1" applyFill="1" applyBorder="1" applyAlignment="1">
      <alignment horizontal="right"/>
    </xf>
    <xf numFmtId="168" fontId="5" fillId="7" borderId="0" xfId="0" applyFont="1" applyFill="1" applyBorder="1" applyAlignment="1">
      <alignment/>
    </xf>
    <xf numFmtId="168" fontId="5" fillId="7" borderId="0" xfId="0" applyFont="1" applyFill="1" applyBorder="1" applyAlignment="1">
      <alignment horizontal="left"/>
    </xf>
    <xf numFmtId="168" fontId="5" fillId="7" borderId="15" xfId="0" applyFont="1" applyFill="1" applyBorder="1" applyAlignment="1">
      <alignment/>
    </xf>
    <xf numFmtId="168" fontId="5" fillId="7" borderId="0" xfId="0" applyFont="1" applyFill="1" applyAlignment="1">
      <alignment/>
    </xf>
    <xf numFmtId="168" fontId="5" fillId="7" borderId="39" xfId="0" applyFont="1" applyFill="1" applyBorder="1" applyAlignment="1">
      <alignment/>
    </xf>
    <xf numFmtId="168" fontId="5" fillId="7" borderId="16" xfId="0" applyFont="1" applyFill="1" applyBorder="1" applyAlignment="1">
      <alignment horizontal="left"/>
    </xf>
    <xf numFmtId="168" fontId="5" fillId="7" borderId="33" xfId="0" applyFont="1" applyFill="1" applyBorder="1" applyAlignment="1">
      <alignment/>
    </xf>
    <xf numFmtId="0" fontId="6" fillId="5" borderId="0" xfId="0" applyNumberFormat="1" applyFont="1" applyFill="1" applyBorder="1" applyAlignment="1">
      <alignment horizontal="center"/>
    </xf>
    <xf numFmtId="0" fontId="5" fillId="5" borderId="0" xfId="0" applyNumberFormat="1" applyFont="1" applyFill="1" applyBorder="1" applyAlignment="1">
      <alignment/>
    </xf>
    <xf numFmtId="172" fontId="5" fillId="5" borderId="15" xfId="0" applyNumberFormat="1" applyFont="1" applyFill="1" applyBorder="1" applyAlignment="1">
      <alignment/>
    </xf>
    <xf numFmtId="172" fontId="5" fillId="5" borderId="15" xfId="55" applyNumberFormat="1" applyFont="1" applyFill="1" applyBorder="1">
      <alignment/>
      <protection/>
    </xf>
    <xf numFmtId="7" fontId="5" fillId="5" borderId="15" xfId="0" applyNumberFormat="1" applyFont="1" applyFill="1" applyBorder="1" applyAlignment="1">
      <alignment/>
    </xf>
    <xf numFmtId="2" fontId="5" fillId="5" borderId="15" xfId="0" applyNumberFormat="1" applyFont="1" applyFill="1" applyBorder="1" applyAlignment="1">
      <alignment horizontal="center"/>
    </xf>
    <xf numFmtId="9" fontId="5" fillId="5" borderId="0" xfId="0" applyNumberFormat="1" applyFont="1" applyFill="1" applyBorder="1" applyAlignment="1">
      <alignment/>
    </xf>
    <xf numFmtId="0" fontId="5" fillId="34" borderId="40" xfId="0" applyNumberFormat="1" applyFont="1" applyFill="1" applyBorder="1" applyAlignment="1">
      <alignment horizontal="center"/>
    </xf>
    <xf numFmtId="0" fontId="5" fillId="34" borderId="15" xfId="0" applyNumberFormat="1" applyFont="1" applyFill="1" applyBorder="1" applyAlignment="1">
      <alignment horizontal="center"/>
    </xf>
    <xf numFmtId="0" fontId="5" fillId="34" borderId="41" xfId="0" applyNumberFormat="1" applyFont="1" applyFill="1" applyBorder="1" applyAlignment="1">
      <alignment horizontal="center"/>
    </xf>
    <xf numFmtId="168" fontId="5" fillId="0" borderId="30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PAYCL2009 S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7"/>
  <sheetViews>
    <sheetView showGridLines="0" tabSelected="1" zoomScalePageLayoutView="0" workbookViewId="0" topLeftCell="A1">
      <selection activeCell="C36" sqref="C36"/>
    </sheetView>
  </sheetViews>
  <sheetFormatPr defaultColWidth="8.88671875" defaultRowHeight="15"/>
  <cols>
    <col min="1" max="1" width="4.99609375" style="0" customWidth="1"/>
    <col min="2" max="2" width="24.10546875" style="0" customWidth="1"/>
    <col min="3" max="3" width="13.10546875" style="0" customWidth="1"/>
    <col min="4" max="4" width="1.77734375" style="0" customWidth="1"/>
    <col min="5" max="5" width="4.77734375" style="0" customWidth="1"/>
    <col min="6" max="6" width="16.99609375" style="0" customWidth="1"/>
    <col min="7" max="7" width="15.21484375" style="0" customWidth="1"/>
    <col min="8" max="8" width="11.77734375" style="0" customWidth="1"/>
    <col min="9" max="9" width="10.77734375" style="0" customWidth="1"/>
    <col min="10" max="16" width="19.99609375" style="0" customWidth="1"/>
    <col min="17" max="17" width="14.77734375" style="0" customWidth="1"/>
  </cols>
  <sheetData>
    <row r="1" spans="1:17" ht="15.75" thickBot="1">
      <c r="A1" s="65"/>
      <c r="B1" s="23"/>
      <c r="C1" s="25" t="s">
        <v>146</v>
      </c>
      <c r="D1" s="24"/>
      <c r="E1" s="24"/>
      <c r="F1" s="24"/>
      <c r="G1" s="49"/>
      <c r="N1" s="55" t="s">
        <v>0</v>
      </c>
      <c r="O1" s="1" t="s">
        <v>1</v>
      </c>
      <c r="P1" s="2"/>
      <c r="Q1" s="1" t="s">
        <v>2</v>
      </c>
    </row>
    <row r="2" spans="2:16" ht="15">
      <c r="B2" s="66" t="s">
        <v>137</v>
      </c>
      <c r="C2" s="84"/>
      <c r="D2" s="84"/>
      <c r="E2" s="84"/>
      <c r="F2" s="67"/>
      <c r="G2" s="68"/>
      <c r="N2" s="1" t="s">
        <v>3</v>
      </c>
      <c r="O2" s="1" t="s">
        <v>120</v>
      </c>
      <c r="P2" s="3" t="s">
        <v>4</v>
      </c>
    </row>
    <row r="3" spans="2:18" ht="15">
      <c r="B3" s="69" t="s">
        <v>138</v>
      </c>
      <c r="C3" s="86"/>
      <c r="D3" s="85"/>
      <c r="E3" s="85"/>
      <c r="F3" s="70"/>
      <c r="G3" s="71"/>
      <c r="N3" s="6">
        <v>0</v>
      </c>
      <c r="O3" s="6">
        <v>0</v>
      </c>
      <c r="P3" s="2">
        <v>0</v>
      </c>
      <c r="Q3" s="1" t="s">
        <v>5</v>
      </c>
      <c r="R3" s="1" t="s">
        <v>6</v>
      </c>
    </row>
    <row r="4" spans="2:16" s="10" customFormat="1" ht="15.75" thickBot="1">
      <c r="B4" s="72"/>
      <c r="C4" s="73"/>
      <c r="D4" s="73"/>
      <c r="E4" s="73"/>
      <c r="F4" s="73"/>
      <c r="G4" s="74"/>
      <c r="I4" s="8" t="s">
        <v>8</v>
      </c>
      <c r="N4" s="6">
        <v>2250</v>
      </c>
      <c r="O4" s="6">
        <v>0</v>
      </c>
      <c r="P4" s="2">
        <v>0.1</v>
      </c>
    </row>
    <row r="5" spans="2:18" s="10" customFormat="1" ht="15">
      <c r="B5" s="87" t="s">
        <v>7</v>
      </c>
      <c r="C5" s="47">
        <v>0</v>
      </c>
      <c r="D5" s="48"/>
      <c r="E5" s="36"/>
      <c r="F5" s="31" t="s">
        <v>23</v>
      </c>
      <c r="G5" s="77">
        <f>C11*C12</f>
        <v>0</v>
      </c>
      <c r="I5" s="9">
        <f>IF((C7=I4),2,0)</f>
        <v>0</v>
      </c>
      <c r="L5" s="8" t="s">
        <v>9</v>
      </c>
      <c r="N5" s="6">
        <v>11325</v>
      </c>
      <c r="O5" s="6">
        <v>907.5</v>
      </c>
      <c r="P5" s="2">
        <v>0.15</v>
      </c>
      <c r="Q5" s="8" t="s">
        <v>10</v>
      </c>
      <c r="R5" s="8" t="s">
        <v>11</v>
      </c>
    </row>
    <row r="6" spans="2:18" s="10" customFormat="1" ht="15">
      <c r="B6" s="88" t="s">
        <v>12</v>
      </c>
      <c r="C6" s="45"/>
      <c r="D6" s="32"/>
      <c r="E6" s="36"/>
      <c r="F6" s="31" t="s">
        <v>117</v>
      </c>
      <c r="G6" s="37">
        <f>G5-G13-G16-C19</f>
        <v>0</v>
      </c>
      <c r="H6" s="21"/>
      <c r="I6" s="8" t="s">
        <v>8</v>
      </c>
      <c r="L6" s="8" t="s">
        <v>9</v>
      </c>
      <c r="N6" s="6">
        <v>39150</v>
      </c>
      <c r="O6" s="6">
        <v>5081.25</v>
      </c>
      <c r="P6" s="2">
        <v>0.25</v>
      </c>
      <c r="R6" s="8" t="s">
        <v>13</v>
      </c>
    </row>
    <row r="7" spans="2:18" s="10" customFormat="1" ht="15">
      <c r="B7" s="26" t="s">
        <v>142</v>
      </c>
      <c r="C7" s="28" t="s">
        <v>143</v>
      </c>
      <c r="D7" s="33"/>
      <c r="E7" s="36"/>
      <c r="F7" s="31" t="s">
        <v>119</v>
      </c>
      <c r="G7" s="37">
        <f>G5-G16</f>
        <v>0</v>
      </c>
      <c r="I7" s="13">
        <f>IF((C9=I6),1,0)</f>
        <v>0</v>
      </c>
      <c r="L7" s="8" t="s">
        <v>9</v>
      </c>
      <c r="N7" s="6">
        <v>91600</v>
      </c>
      <c r="O7" s="6">
        <v>18193.75</v>
      </c>
      <c r="P7" s="2">
        <v>0.28</v>
      </c>
      <c r="R7" s="8" t="s">
        <v>14</v>
      </c>
    </row>
    <row r="8" spans="2:16" s="10" customFormat="1" ht="15">
      <c r="B8" s="88" t="s">
        <v>15</v>
      </c>
      <c r="C8" s="45"/>
      <c r="D8" s="33"/>
      <c r="E8" s="50"/>
      <c r="F8" s="51" t="s">
        <v>118</v>
      </c>
      <c r="G8" s="52">
        <f>G5</f>
        <v>0</v>
      </c>
      <c r="I8" s="9">
        <f>I7</f>
        <v>0</v>
      </c>
      <c r="J8" s="11">
        <f aca="true" t="shared" si="0" ref="J8:J17">CHOOSE($I$8+1,N3,N15,N21,N30)</f>
        <v>0</v>
      </c>
      <c r="K8" s="11">
        <f aca="true" t="shared" si="1" ref="K8:K17">CHOOSE($I$8+1,N3,N15,N21,N30)</f>
        <v>0</v>
      </c>
      <c r="L8" s="11">
        <f aca="true" t="shared" si="2" ref="L8:L17">CHOOSE($I$8+1,O3,O15,O21,O30)</f>
        <v>0</v>
      </c>
      <c r="M8" s="10">
        <f aca="true" t="shared" si="3" ref="M8:M17">CHOOSE($I$8+1,P3,P15,P21,P30)</f>
        <v>0</v>
      </c>
      <c r="N8" s="6">
        <v>188600</v>
      </c>
      <c r="O8" s="6">
        <v>45353.75</v>
      </c>
      <c r="P8" s="2">
        <v>0.33</v>
      </c>
    </row>
    <row r="9" spans="2:18" s="10" customFormat="1" ht="15">
      <c r="B9" s="26" t="s">
        <v>139</v>
      </c>
      <c r="C9" s="28" t="s">
        <v>144</v>
      </c>
      <c r="D9" s="33"/>
      <c r="E9" s="31"/>
      <c r="F9" s="31" t="s">
        <v>18</v>
      </c>
      <c r="G9" s="38">
        <f>ROUND((((((I10-VLOOKUP(I10,J8:M17,2)))*VLOOKUP(I10,J8:M17,4))+VLOOKUP(I10,J8:M17,3))/I15)+C13,2)</f>
        <v>0</v>
      </c>
      <c r="I9" s="10">
        <f>O83/I15</f>
        <v>151.92307692307693</v>
      </c>
      <c r="J9" s="11">
        <f t="shared" si="0"/>
        <v>2250</v>
      </c>
      <c r="K9" s="11">
        <f t="shared" si="1"/>
        <v>2250</v>
      </c>
      <c r="L9" s="11">
        <f t="shared" si="2"/>
        <v>0</v>
      </c>
      <c r="M9" s="10">
        <f t="shared" si="3"/>
        <v>0.1</v>
      </c>
      <c r="N9" s="6">
        <v>407350</v>
      </c>
      <c r="O9" s="6">
        <v>117541.25</v>
      </c>
      <c r="P9" s="2">
        <v>0.35</v>
      </c>
      <c r="Q9" s="8" t="s">
        <v>16</v>
      </c>
      <c r="R9" s="8" t="s">
        <v>17</v>
      </c>
    </row>
    <row r="10" spans="2:18" s="10" customFormat="1" ht="15">
      <c r="B10" s="88" t="s">
        <v>23</v>
      </c>
      <c r="C10" s="45"/>
      <c r="D10" s="33"/>
      <c r="E10" s="36"/>
      <c r="F10" s="31" t="s">
        <v>31</v>
      </c>
      <c r="G10" s="38">
        <f>ROUND((((((I45-VLOOKUP(I45,J40:M48,2)))*VLOOKUP(I45,J40:M48,4))+VLOOKUP(I45,J40:M48,3))/I47)+C14,2)</f>
        <v>0</v>
      </c>
      <c r="I10" s="14">
        <f>IF(I14&lt;0,0,I16)</f>
        <v>0</v>
      </c>
      <c r="J10" s="11">
        <f t="shared" si="0"/>
        <v>11325</v>
      </c>
      <c r="K10" s="11">
        <f t="shared" si="1"/>
        <v>11325</v>
      </c>
      <c r="L10" s="11">
        <f t="shared" si="2"/>
        <v>907.5</v>
      </c>
      <c r="M10" s="10">
        <f t="shared" si="3"/>
        <v>0.15</v>
      </c>
      <c r="N10" s="6">
        <v>409000</v>
      </c>
      <c r="O10" s="6">
        <v>118118.75</v>
      </c>
      <c r="P10" s="2">
        <v>0.396</v>
      </c>
      <c r="R10" s="8" t="s">
        <v>19</v>
      </c>
    </row>
    <row r="11" spans="2:18" s="10" customFormat="1" ht="15">
      <c r="B11" s="26" t="s">
        <v>25</v>
      </c>
      <c r="C11" s="43">
        <v>0</v>
      </c>
      <c r="D11" s="33"/>
      <c r="E11" s="36"/>
      <c r="F11" s="31" t="s">
        <v>140</v>
      </c>
      <c r="G11" s="38">
        <f>ROUND(G$7*6.2/100,2)</f>
        <v>0</v>
      </c>
      <c r="I11" s="8" t="s">
        <v>20</v>
      </c>
      <c r="J11" s="11">
        <f t="shared" si="0"/>
        <v>39150</v>
      </c>
      <c r="K11" s="11">
        <f t="shared" si="1"/>
        <v>39150</v>
      </c>
      <c r="L11" s="11">
        <f t="shared" si="2"/>
        <v>5081.25</v>
      </c>
      <c r="M11" s="10">
        <f t="shared" si="3"/>
        <v>0.25</v>
      </c>
      <c r="N11" s="6">
        <v>9999999999</v>
      </c>
      <c r="O11" s="6">
        <v>9999999999</v>
      </c>
      <c r="P11" s="2">
        <v>1</v>
      </c>
      <c r="R11" s="8" t="s">
        <v>22</v>
      </c>
    </row>
    <row r="12" spans="2:16" s="10" customFormat="1" ht="15">
      <c r="B12" s="26" t="s">
        <v>28</v>
      </c>
      <c r="C12" s="27">
        <v>0</v>
      </c>
      <c r="D12" s="33"/>
      <c r="E12" s="36"/>
      <c r="F12" s="82" t="s">
        <v>141</v>
      </c>
      <c r="G12" s="38">
        <f>ROUND(G$7*1.45/100,2)</f>
        <v>0</v>
      </c>
      <c r="I12" s="14">
        <f>IF(C17=I11,G13,0)</f>
        <v>0</v>
      </c>
      <c r="J12" s="11">
        <f t="shared" si="0"/>
        <v>91600</v>
      </c>
      <c r="K12" s="11">
        <f t="shared" si="1"/>
        <v>91600</v>
      </c>
      <c r="L12" s="11">
        <f t="shared" si="2"/>
        <v>18193.75</v>
      </c>
      <c r="M12" s="10">
        <f t="shared" si="3"/>
        <v>0.28</v>
      </c>
      <c r="N12" s="6">
        <v>9999999999</v>
      </c>
      <c r="O12" s="6">
        <v>9999999999</v>
      </c>
      <c r="P12" s="2">
        <v>1</v>
      </c>
    </row>
    <row r="13" spans="2:18" s="10" customFormat="1" ht="15">
      <c r="B13" s="26" t="s">
        <v>34</v>
      </c>
      <c r="C13" s="44">
        <v>0</v>
      </c>
      <c r="D13" s="33"/>
      <c r="E13" s="82"/>
      <c r="F13" s="31" t="s">
        <v>24</v>
      </c>
      <c r="G13" s="38">
        <f>ROUND(G5*C18/100,2)</f>
        <v>0</v>
      </c>
      <c r="J13" s="11">
        <f t="shared" si="0"/>
        <v>188600</v>
      </c>
      <c r="K13" s="11">
        <f t="shared" si="1"/>
        <v>188600</v>
      </c>
      <c r="L13" s="11">
        <f t="shared" si="2"/>
        <v>45353.75</v>
      </c>
      <c r="M13" s="10">
        <f t="shared" si="3"/>
        <v>0.33</v>
      </c>
      <c r="N13"/>
      <c r="O13"/>
      <c r="P13"/>
      <c r="Q13" s="8" t="s">
        <v>26</v>
      </c>
      <c r="R13" s="8" t="s">
        <v>27</v>
      </c>
    </row>
    <row r="14" spans="2:18" s="10" customFormat="1" ht="15">
      <c r="B14" s="26" t="s">
        <v>36</v>
      </c>
      <c r="C14" s="44">
        <v>0</v>
      </c>
      <c r="D14" s="33"/>
      <c r="E14" s="50"/>
      <c r="F14" s="51" t="s">
        <v>37</v>
      </c>
      <c r="G14" s="53">
        <f>C19</f>
        <v>0</v>
      </c>
      <c r="I14" s="10">
        <f>G5-(I9*C5)-I12-G16-G14</f>
        <v>0</v>
      </c>
      <c r="J14" s="11">
        <f t="shared" si="0"/>
        <v>407350</v>
      </c>
      <c r="K14" s="11">
        <f t="shared" si="1"/>
        <v>407350</v>
      </c>
      <c r="L14" s="11">
        <f t="shared" si="2"/>
        <v>117541.25</v>
      </c>
      <c r="M14" s="10">
        <f t="shared" si="3"/>
        <v>0.35</v>
      </c>
      <c r="N14" s="7" t="s">
        <v>3</v>
      </c>
      <c r="O14" s="7" t="s">
        <v>120</v>
      </c>
      <c r="P14" s="3" t="s">
        <v>21</v>
      </c>
      <c r="Q14" s="8" t="s">
        <v>29</v>
      </c>
      <c r="R14" s="8" t="s">
        <v>30</v>
      </c>
    </row>
    <row r="15" spans="2:18" s="10" customFormat="1" ht="15">
      <c r="B15" s="88" t="s">
        <v>24</v>
      </c>
      <c r="C15" s="45"/>
      <c r="D15" s="33"/>
      <c r="E15" s="36"/>
      <c r="F15" s="31" t="s">
        <v>133</v>
      </c>
      <c r="G15" s="39">
        <f>SUM(C30:C38)</f>
        <v>0</v>
      </c>
      <c r="I15" s="18">
        <f>IF(C$7="b",26,IF(C$7="M",12,1))</f>
        <v>26</v>
      </c>
      <c r="J15" s="11">
        <f t="shared" si="0"/>
        <v>409000</v>
      </c>
      <c r="K15" s="11">
        <f t="shared" si="1"/>
        <v>409000</v>
      </c>
      <c r="L15" s="11">
        <f t="shared" si="2"/>
        <v>118118.75</v>
      </c>
      <c r="M15" s="10">
        <f t="shared" si="3"/>
        <v>0.396</v>
      </c>
      <c r="N15" s="6">
        <v>0</v>
      </c>
      <c r="O15" s="6">
        <v>0</v>
      </c>
      <c r="P15" s="2">
        <v>0</v>
      </c>
      <c r="Q15" s="8" t="s">
        <v>32</v>
      </c>
      <c r="R15" s="8" t="s">
        <v>33</v>
      </c>
    </row>
    <row r="16" spans="2:18" s="10" customFormat="1" ht="15">
      <c r="B16" s="26" t="s">
        <v>44</v>
      </c>
      <c r="C16" s="27"/>
      <c r="D16" s="33"/>
      <c r="E16" s="36"/>
      <c r="F16" s="31" t="s">
        <v>134</v>
      </c>
      <c r="G16" s="39">
        <f>SUM(C22:C27)</f>
        <v>0</v>
      </c>
      <c r="I16" s="10">
        <f>I14*I15</f>
        <v>0</v>
      </c>
      <c r="J16" s="11">
        <f t="shared" si="0"/>
        <v>9999999999</v>
      </c>
      <c r="K16" s="11">
        <f t="shared" si="1"/>
        <v>9999999999</v>
      </c>
      <c r="L16" s="11">
        <f t="shared" si="2"/>
        <v>9999999999</v>
      </c>
      <c r="M16" s="10">
        <f t="shared" si="3"/>
        <v>1</v>
      </c>
      <c r="N16" s="6">
        <v>8450</v>
      </c>
      <c r="O16" s="6">
        <v>0</v>
      </c>
      <c r="P16" s="2">
        <v>0.1</v>
      </c>
      <c r="R16" s="8" t="s">
        <v>35</v>
      </c>
    </row>
    <row r="17" spans="2:16" s="10" customFormat="1" ht="15.75" thickBot="1">
      <c r="B17" s="26" t="s">
        <v>47</v>
      </c>
      <c r="C17" s="28" t="s">
        <v>20</v>
      </c>
      <c r="D17" s="33"/>
      <c r="E17" s="54"/>
      <c r="F17" s="80" t="s">
        <v>135</v>
      </c>
      <c r="G17" s="81">
        <f>G5-SUM(G9:G16)-C29</f>
        <v>0</v>
      </c>
      <c r="J17" s="11">
        <f t="shared" si="0"/>
        <v>9999999999</v>
      </c>
      <c r="K17" s="11">
        <f t="shared" si="1"/>
        <v>9999999999</v>
      </c>
      <c r="L17" s="11">
        <f t="shared" si="2"/>
        <v>9999999999</v>
      </c>
      <c r="M17" s="10">
        <f t="shared" si="3"/>
        <v>1</v>
      </c>
      <c r="N17" s="6">
        <v>26600</v>
      </c>
      <c r="O17" s="6">
        <v>1815</v>
      </c>
      <c r="P17" s="2">
        <v>0.15</v>
      </c>
    </row>
    <row r="18" spans="2:18" s="10" customFormat="1" ht="15.75" thickBot="1">
      <c r="B18" s="29" t="s">
        <v>130</v>
      </c>
      <c r="C18" s="27">
        <v>4.8</v>
      </c>
      <c r="D18" s="33"/>
      <c r="E18" s="36"/>
      <c r="F18" s="36"/>
      <c r="G18" s="39"/>
      <c r="H18" s="56"/>
      <c r="I18" s="56"/>
      <c r="J18" s="108" t="s">
        <v>124</v>
      </c>
      <c r="K18" s="109"/>
      <c r="L18" s="57"/>
      <c r="N18" s="6">
        <v>82250</v>
      </c>
      <c r="O18" s="6">
        <v>10162.5</v>
      </c>
      <c r="P18" s="2">
        <v>0.25</v>
      </c>
      <c r="Q18" s="8" t="s">
        <v>38</v>
      </c>
      <c r="R18" s="8" t="s">
        <v>39</v>
      </c>
    </row>
    <row r="19" spans="2:18" s="10" customFormat="1" ht="15.75" thickBot="1">
      <c r="B19" s="26" t="s">
        <v>50</v>
      </c>
      <c r="C19" s="27">
        <v>0</v>
      </c>
      <c r="D19" s="33"/>
      <c r="E19" s="89"/>
      <c r="F19" s="91" t="s">
        <v>58</v>
      </c>
      <c r="G19" s="90"/>
      <c r="H19" s="20"/>
      <c r="I19" s="20"/>
      <c r="J19" s="58" t="s">
        <v>125</v>
      </c>
      <c r="K19" s="59">
        <v>435</v>
      </c>
      <c r="L19" s="60" t="s">
        <v>126</v>
      </c>
      <c r="N19" s="6">
        <v>157300</v>
      </c>
      <c r="O19" s="6">
        <v>28925</v>
      </c>
      <c r="P19" s="2">
        <v>0.28</v>
      </c>
      <c r="Q19" s="8" t="s">
        <v>29</v>
      </c>
      <c r="R19" s="8" t="s">
        <v>40</v>
      </c>
    </row>
    <row r="20" spans="2:17" s="10" customFormat="1" ht="15">
      <c r="B20" s="79" t="s">
        <v>45</v>
      </c>
      <c r="C20" s="45"/>
      <c r="D20" s="33"/>
      <c r="E20" s="92"/>
      <c r="F20" s="93" t="s">
        <v>140</v>
      </c>
      <c r="G20" s="94">
        <f>ROUND(G$7*6.2/100,2)</f>
        <v>0</v>
      </c>
      <c r="H20" s="20"/>
      <c r="I20" s="20"/>
      <c r="J20" s="58" t="s">
        <v>127</v>
      </c>
      <c r="K20" s="59">
        <v>942.5</v>
      </c>
      <c r="L20" s="60" t="s">
        <v>126</v>
      </c>
      <c r="N20" s="6">
        <v>235300</v>
      </c>
      <c r="O20" s="6">
        <v>50765</v>
      </c>
      <c r="P20" s="2">
        <v>0.33</v>
      </c>
      <c r="Q20" s="8" t="s">
        <v>41</v>
      </c>
    </row>
    <row r="21" spans="2:18" s="10" customFormat="1" ht="15">
      <c r="B21" s="79" t="s">
        <v>129</v>
      </c>
      <c r="C21" s="45"/>
      <c r="D21" s="33"/>
      <c r="E21" s="92"/>
      <c r="F21" s="95" t="s">
        <v>141</v>
      </c>
      <c r="G21" s="94">
        <f>ROUND(G$7*1.45/100,2)</f>
        <v>0</v>
      </c>
      <c r="H21" s="20"/>
      <c r="I21" s="20"/>
      <c r="J21" s="35"/>
      <c r="K21" s="35"/>
      <c r="L21" s="60"/>
      <c r="N21" s="6">
        <v>413550</v>
      </c>
      <c r="O21" s="6">
        <v>109587.5</v>
      </c>
      <c r="P21" s="2">
        <v>0.35</v>
      </c>
      <c r="Q21" s="8" t="s">
        <v>42</v>
      </c>
      <c r="R21" s="8" t="s">
        <v>43</v>
      </c>
    </row>
    <row r="22" spans="2:18" s="10" customFormat="1" ht="15">
      <c r="B22" s="26" t="s">
        <v>55</v>
      </c>
      <c r="C22" s="22">
        <v>0</v>
      </c>
      <c r="D22" s="33"/>
      <c r="E22" s="96"/>
      <c r="F22" s="97" t="s">
        <v>24</v>
      </c>
      <c r="G22" s="98">
        <f>G13*1.56</f>
        <v>0</v>
      </c>
      <c r="H22" s="20"/>
      <c r="I22" s="20"/>
      <c r="J22" s="106" t="s">
        <v>128</v>
      </c>
      <c r="K22" s="107"/>
      <c r="L22" s="60"/>
      <c r="N22" s="6">
        <v>466050</v>
      </c>
      <c r="O22" s="6">
        <v>127962.5</v>
      </c>
      <c r="P22" s="2">
        <v>0.396</v>
      </c>
      <c r="R22" s="8" t="s">
        <v>46</v>
      </c>
    </row>
    <row r="23" spans="2:16" s="10" customFormat="1" ht="15">
      <c r="B23" s="26" t="s">
        <v>57</v>
      </c>
      <c r="C23" s="22">
        <v>0</v>
      </c>
      <c r="D23" s="33"/>
      <c r="E23" s="36"/>
      <c r="F23" s="36"/>
      <c r="G23" s="39"/>
      <c r="H23" s="75">
        <v>788.97</v>
      </c>
      <c r="I23" s="35"/>
      <c r="J23" s="58" t="s">
        <v>125</v>
      </c>
      <c r="K23" s="59">
        <v>580</v>
      </c>
      <c r="L23" s="60" t="s">
        <v>126</v>
      </c>
      <c r="N23" s="6">
        <v>999999999</v>
      </c>
      <c r="O23" s="6">
        <v>999999999</v>
      </c>
      <c r="P23" s="2">
        <v>1</v>
      </c>
    </row>
    <row r="24" spans="2:18" s="10" customFormat="1" ht="15">
      <c r="B24" s="26" t="s">
        <v>105</v>
      </c>
      <c r="C24" s="22">
        <v>0</v>
      </c>
      <c r="D24" s="33"/>
      <c r="E24" s="36"/>
      <c r="F24" s="99"/>
      <c r="G24" s="104"/>
      <c r="H24" s="76"/>
      <c r="I24" s="35"/>
      <c r="J24" s="58" t="s">
        <v>127</v>
      </c>
      <c r="K24" s="59">
        <v>1256.66</v>
      </c>
      <c r="L24" s="60" t="s">
        <v>126</v>
      </c>
      <c r="N24" s="6">
        <v>999999999999</v>
      </c>
      <c r="O24" s="6">
        <v>99999999999</v>
      </c>
      <c r="P24" s="2">
        <v>1</v>
      </c>
      <c r="Q24" s="8" t="s">
        <v>48</v>
      </c>
      <c r="R24" s="8" t="s">
        <v>49</v>
      </c>
    </row>
    <row r="25" spans="2:18" s="10" customFormat="1" ht="15">
      <c r="B25" s="26" t="s">
        <v>61</v>
      </c>
      <c r="C25" s="22">
        <v>0</v>
      </c>
      <c r="D25" s="33"/>
      <c r="E25" s="36"/>
      <c r="F25" s="82"/>
      <c r="G25" s="39"/>
      <c r="H25" s="76">
        <f>IF(G24-K19&lt;=0,0,G24)</f>
        <v>0</v>
      </c>
      <c r="I25" s="35"/>
      <c r="J25" s="20"/>
      <c r="K25" s="20"/>
      <c r="L25" s="60"/>
      <c r="N25" s="6"/>
      <c r="O25" s="6"/>
      <c r="P25" s="2"/>
      <c r="R25" s="8" t="s">
        <v>51</v>
      </c>
    </row>
    <row r="26" spans="2:18" s="10" customFormat="1" ht="12.75">
      <c r="B26" s="26" t="s">
        <v>136</v>
      </c>
      <c r="C26" s="22">
        <v>0</v>
      </c>
      <c r="D26" s="33"/>
      <c r="E26" s="36"/>
      <c r="F26" s="105"/>
      <c r="G26" s="101"/>
      <c r="H26" s="76">
        <f>IF(G24-K23&gt;=0,0.25*G24,H25-K19)</f>
        <v>-435</v>
      </c>
      <c r="I26" s="35">
        <f>IF(H25&lt;ABS(H26),H25,H26)</f>
        <v>0</v>
      </c>
      <c r="J26" s="20"/>
      <c r="K26" s="20"/>
      <c r="L26" s="60"/>
      <c r="N26" s="11"/>
      <c r="O26" s="11"/>
      <c r="P26" s="12"/>
      <c r="R26" s="8" t="s">
        <v>52</v>
      </c>
    </row>
    <row r="27" spans="2:16" s="10" customFormat="1" ht="12.75">
      <c r="B27" s="26" t="s">
        <v>106</v>
      </c>
      <c r="C27" s="22">
        <v>0</v>
      </c>
      <c r="D27" s="33"/>
      <c r="E27" s="36"/>
      <c r="F27" s="105"/>
      <c r="G27" s="102"/>
      <c r="H27" s="35">
        <f>IF(G24-K23&gt;=0,0.15*G24,H25-K19)</f>
        <v>-435</v>
      </c>
      <c r="I27" s="35"/>
      <c r="J27" s="20"/>
      <c r="K27" s="20"/>
      <c r="L27" s="60"/>
      <c r="N27" s="11"/>
      <c r="O27" s="11"/>
      <c r="P27" s="12"/>
    </row>
    <row r="28" spans="2:18" s="10" customFormat="1" ht="12.75">
      <c r="B28" s="79" t="s">
        <v>131</v>
      </c>
      <c r="C28" s="46"/>
      <c r="D28" s="33"/>
      <c r="E28" s="36"/>
      <c r="F28" s="100"/>
      <c r="G28" s="102"/>
      <c r="H28" s="35">
        <f>IF(G24-K23&gt;=0,H25-K19,0.15*G24)</f>
        <v>0</v>
      </c>
      <c r="I28" s="61">
        <f>MIN(H25,H28,ABS(H27))</f>
        <v>0</v>
      </c>
      <c r="J28" s="20"/>
      <c r="K28" s="20"/>
      <c r="L28" s="60"/>
      <c r="N28" s="11"/>
      <c r="O28" s="11"/>
      <c r="P28" s="12"/>
      <c r="Q28" s="8" t="s">
        <v>53</v>
      </c>
      <c r="R28" s="8" t="s">
        <v>54</v>
      </c>
    </row>
    <row r="29" spans="2:18" s="10" customFormat="1" ht="12.75">
      <c r="B29" s="30" t="s">
        <v>132</v>
      </c>
      <c r="C29" s="41">
        <v>0</v>
      </c>
      <c r="D29" s="33"/>
      <c r="E29" s="36"/>
      <c r="F29" s="100"/>
      <c r="G29" s="103"/>
      <c r="H29" s="76"/>
      <c r="I29" s="35"/>
      <c r="J29" s="20"/>
      <c r="K29" s="20"/>
      <c r="L29" s="60"/>
      <c r="N29" s="16"/>
      <c r="O29" s="16"/>
      <c r="P29" s="17"/>
      <c r="R29" s="8" t="s">
        <v>56</v>
      </c>
    </row>
    <row r="30" spans="2:16" s="10" customFormat="1" ht="12.75">
      <c r="B30" s="26" t="s">
        <v>63</v>
      </c>
      <c r="C30" s="42">
        <v>0</v>
      </c>
      <c r="D30" s="33"/>
      <c r="E30" s="36"/>
      <c r="F30" s="100"/>
      <c r="G30" s="101"/>
      <c r="H30" s="76">
        <f>IF(G24-K20&lt;=0,0,G24)</f>
        <v>0</v>
      </c>
      <c r="I30" s="35"/>
      <c r="J30" s="20"/>
      <c r="K30" s="20"/>
      <c r="L30" s="60"/>
      <c r="N30" s="11"/>
      <c r="O30" s="11"/>
      <c r="P30" s="12"/>
    </row>
    <row r="31" spans="2:18" s="10" customFormat="1" ht="12.75">
      <c r="B31" s="26" t="s">
        <v>66</v>
      </c>
      <c r="C31" s="42">
        <v>0</v>
      </c>
      <c r="D31" s="33"/>
      <c r="E31" s="36"/>
      <c r="F31" s="105"/>
      <c r="G31" s="101"/>
      <c r="H31" s="76">
        <f>IF(G24-K24&gt;=0,0.25*G24,H30-K20)</f>
        <v>-942.5</v>
      </c>
      <c r="I31" s="35">
        <f>IF(H30&lt;ABS(H31),H30,H31)</f>
        <v>0</v>
      </c>
      <c r="J31" s="35"/>
      <c r="K31" s="35"/>
      <c r="L31" s="60"/>
      <c r="N31" s="11"/>
      <c r="O31" s="11"/>
      <c r="P31" s="12"/>
      <c r="Q31" s="8" t="s">
        <v>59</v>
      </c>
      <c r="R31" s="8" t="s">
        <v>60</v>
      </c>
    </row>
    <row r="32" spans="2:18" s="10" customFormat="1" ht="12.75">
      <c r="B32" s="26" t="s">
        <v>68</v>
      </c>
      <c r="C32" s="42">
        <v>0</v>
      </c>
      <c r="D32" s="33"/>
      <c r="E32" s="36"/>
      <c r="F32" s="36"/>
      <c r="G32" s="78"/>
      <c r="H32" s="35">
        <f>IF(G24-K24&gt;=0,0.15*G24,H30-K20)</f>
        <v>-942.5</v>
      </c>
      <c r="I32" s="35"/>
      <c r="J32" s="35"/>
      <c r="K32" s="35"/>
      <c r="L32" s="60"/>
      <c r="N32" s="11"/>
      <c r="O32" s="11"/>
      <c r="P32" s="12"/>
      <c r="R32" s="8" t="s">
        <v>62</v>
      </c>
    </row>
    <row r="33" spans="2:16" s="10" customFormat="1" ht="13.5" thickBot="1">
      <c r="B33" s="26" t="s">
        <v>68</v>
      </c>
      <c r="C33" s="42">
        <v>0</v>
      </c>
      <c r="D33" s="33"/>
      <c r="E33" s="36"/>
      <c r="F33" s="36"/>
      <c r="G33" s="39"/>
      <c r="H33" s="63">
        <f>IF(G24-K24&gt;=0,H30-K20,0.15*G24)</f>
        <v>0</v>
      </c>
      <c r="I33" s="62">
        <f>MIN(ABS(H32),H33,H30)</f>
        <v>0</v>
      </c>
      <c r="J33" s="63"/>
      <c r="K33" s="63"/>
      <c r="L33" s="64"/>
      <c r="N33" s="11"/>
      <c r="O33" s="11"/>
      <c r="P33" s="12"/>
    </row>
    <row r="34" spans="2:18" s="10" customFormat="1" ht="12.75">
      <c r="B34" s="26" t="s">
        <v>68</v>
      </c>
      <c r="C34" s="42">
        <v>0</v>
      </c>
      <c r="D34" s="33"/>
      <c r="E34" s="36"/>
      <c r="F34" s="31"/>
      <c r="G34" s="39"/>
      <c r="N34" s="11"/>
      <c r="O34" s="11"/>
      <c r="P34" s="12"/>
      <c r="Q34" s="8" t="s">
        <v>64</v>
      </c>
      <c r="R34" s="8" t="s">
        <v>65</v>
      </c>
    </row>
    <row r="35" spans="2:18" s="10" customFormat="1" ht="12.75">
      <c r="B35" s="26" t="s">
        <v>68</v>
      </c>
      <c r="C35" s="42">
        <v>0</v>
      </c>
      <c r="D35" s="33"/>
      <c r="E35" s="36"/>
      <c r="F35" s="36"/>
      <c r="G35" s="39"/>
      <c r="N35" s="11"/>
      <c r="O35" s="11"/>
      <c r="P35" s="12"/>
      <c r="R35" s="8" t="s">
        <v>67</v>
      </c>
    </row>
    <row r="36" spans="2:18" s="10" customFormat="1" ht="12.75">
      <c r="B36" s="26" t="s">
        <v>68</v>
      </c>
      <c r="C36" s="42"/>
      <c r="D36" s="33"/>
      <c r="E36" s="36"/>
      <c r="F36" s="36"/>
      <c r="G36" s="39"/>
      <c r="N36" s="11"/>
      <c r="O36" s="11"/>
      <c r="P36" s="12"/>
      <c r="R36" s="8" t="s">
        <v>69</v>
      </c>
    </row>
    <row r="37" spans="2:16" s="10" customFormat="1" ht="12.75">
      <c r="B37" s="26" t="s">
        <v>68</v>
      </c>
      <c r="C37" s="42" t="s">
        <v>9</v>
      </c>
      <c r="D37" s="33"/>
      <c r="E37" s="36"/>
      <c r="F37" s="36"/>
      <c r="G37" s="39"/>
      <c r="N37" s="11"/>
      <c r="O37" s="11"/>
      <c r="P37" s="12"/>
    </row>
    <row r="38" spans="2:18" s="10" customFormat="1" ht="12.75">
      <c r="B38" s="26" t="s">
        <v>68</v>
      </c>
      <c r="C38" s="42" t="s">
        <v>9</v>
      </c>
      <c r="D38" s="33"/>
      <c r="E38" s="36"/>
      <c r="F38" s="36"/>
      <c r="G38" s="39"/>
      <c r="N38" s="11"/>
      <c r="O38" s="11"/>
      <c r="P38" s="12"/>
      <c r="Q38" s="8" t="s">
        <v>70</v>
      </c>
      <c r="R38" s="8" t="s">
        <v>71</v>
      </c>
    </row>
    <row r="39" spans="2:16" s="10" customFormat="1" ht="15">
      <c r="B39" s="27"/>
      <c r="C39" s="42"/>
      <c r="D39" s="33"/>
      <c r="E39" s="36"/>
      <c r="F39" s="36"/>
      <c r="G39" s="39"/>
      <c r="I39" s="8" t="s">
        <v>8</v>
      </c>
      <c r="N39" s="7" t="s">
        <v>72</v>
      </c>
      <c r="O39" s="7" t="s">
        <v>120</v>
      </c>
      <c r="P39" s="3" t="s">
        <v>4</v>
      </c>
    </row>
    <row r="40" spans="2:18" s="10" customFormat="1" ht="15">
      <c r="B40" s="27"/>
      <c r="C40" s="42"/>
      <c r="D40" s="34"/>
      <c r="E40" s="40"/>
      <c r="F40" s="40"/>
      <c r="G40" s="83" t="s">
        <v>145</v>
      </c>
      <c r="I40" s="10">
        <f>IF((C7=I39),2,0)</f>
        <v>0</v>
      </c>
      <c r="J40" s="10">
        <f aca="true" t="shared" si="4" ref="J40:J48">CHOOSE($I$43+1,N40,N50,N60,N70)</f>
        <v>0</v>
      </c>
      <c r="K40" s="10">
        <f aca="true" t="shared" si="5" ref="K40:M48">CHOOSE($I$43+1,N40,N50,N60,N70)</f>
        <v>0</v>
      </c>
      <c r="L40" s="10">
        <f t="shared" si="5"/>
        <v>0</v>
      </c>
      <c r="M40" s="19">
        <f t="shared" si="5"/>
        <v>0</v>
      </c>
      <c r="N40" s="6">
        <v>0</v>
      </c>
      <c r="O40" s="6">
        <v>0</v>
      </c>
      <c r="P40" s="2">
        <v>0</v>
      </c>
      <c r="Q40" s="8" t="s">
        <v>73</v>
      </c>
      <c r="R40" s="8" t="s">
        <v>74</v>
      </c>
    </row>
    <row r="41" spans="4:16" s="10" customFormat="1" ht="15">
      <c r="D41" s="8"/>
      <c r="I41" s="8" t="s">
        <v>8</v>
      </c>
      <c r="J41" s="10">
        <f t="shared" si="4"/>
        <v>2975</v>
      </c>
      <c r="K41" s="10">
        <f t="shared" si="5"/>
        <v>2975</v>
      </c>
      <c r="L41" s="10">
        <f t="shared" si="5"/>
        <v>0</v>
      </c>
      <c r="M41" s="19">
        <f t="shared" si="5"/>
        <v>0.0226</v>
      </c>
      <c r="N41" s="6">
        <v>2975</v>
      </c>
      <c r="O41" s="6">
        <v>0</v>
      </c>
      <c r="P41" s="4">
        <v>0.0226</v>
      </c>
    </row>
    <row r="42" spans="4:18" s="10" customFormat="1" ht="15">
      <c r="D42" s="8"/>
      <c r="I42" s="10">
        <f>IF((C9=I41),1,0)</f>
        <v>0</v>
      </c>
      <c r="J42" s="10">
        <f t="shared" si="4"/>
        <v>5325</v>
      </c>
      <c r="K42" s="10">
        <f t="shared" si="5"/>
        <v>5325</v>
      </c>
      <c r="L42" s="10">
        <f t="shared" si="5"/>
        <v>53.11</v>
      </c>
      <c r="M42" s="19">
        <f t="shared" si="5"/>
        <v>0.0322</v>
      </c>
      <c r="N42" s="6">
        <v>5325</v>
      </c>
      <c r="O42" s="6">
        <v>53.11</v>
      </c>
      <c r="P42" s="4">
        <v>0.0322</v>
      </c>
      <c r="Q42" s="8" t="s">
        <v>75</v>
      </c>
      <c r="R42" s="8" t="s">
        <v>123</v>
      </c>
    </row>
    <row r="43" spans="4:18" s="10" customFormat="1" ht="15">
      <c r="D43" s="8"/>
      <c r="I43" s="10">
        <f>I42</f>
        <v>0</v>
      </c>
      <c r="J43" s="10">
        <f t="shared" si="4"/>
        <v>17275</v>
      </c>
      <c r="K43" s="10">
        <f t="shared" si="5"/>
        <v>17275</v>
      </c>
      <c r="L43" s="10">
        <f t="shared" si="5"/>
        <v>437.9</v>
      </c>
      <c r="M43" s="19">
        <f t="shared" si="5"/>
        <v>0.0491</v>
      </c>
      <c r="N43" s="6">
        <v>17275</v>
      </c>
      <c r="O43" s="6">
        <v>437.9</v>
      </c>
      <c r="P43" s="4">
        <v>0.0491</v>
      </c>
      <c r="R43" s="8" t="s">
        <v>76</v>
      </c>
    </row>
    <row r="44" spans="4:16" s="10" customFormat="1" ht="15">
      <c r="D44" s="8"/>
      <c r="I44" s="10">
        <f>O86/I47</f>
        <v>73.07692307692308</v>
      </c>
      <c r="J44" s="10">
        <f t="shared" si="4"/>
        <v>25025</v>
      </c>
      <c r="K44" s="10">
        <f t="shared" si="5"/>
        <v>25025</v>
      </c>
      <c r="L44" s="10">
        <f t="shared" si="5"/>
        <v>818.43</v>
      </c>
      <c r="M44" s="19">
        <f t="shared" si="5"/>
        <v>0.062</v>
      </c>
      <c r="N44" s="6">
        <v>25025</v>
      </c>
      <c r="O44" s="6">
        <v>818.43</v>
      </c>
      <c r="P44" s="4">
        <v>0.062</v>
      </c>
    </row>
    <row r="45" spans="9:18" s="10" customFormat="1" ht="15">
      <c r="I45" s="15">
        <f>IF(I46&lt;0,0,I48)</f>
        <v>0</v>
      </c>
      <c r="J45" s="10">
        <f t="shared" si="4"/>
        <v>31775</v>
      </c>
      <c r="K45" s="10">
        <f t="shared" si="5"/>
        <v>31775</v>
      </c>
      <c r="L45" s="10">
        <f t="shared" si="5"/>
        <v>1236.93</v>
      </c>
      <c r="M45" s="19">
        <f t="shared" si="5"/>
        <v>0.0659</v>
      </c>
      <c r="N45" s="6">
        <v>31775</v>
      </c>
      <c r="O45" s="6">
        <v>1236.93</v>
      </c>
      <c r="P45" s="4">
        <v>0.0659</v>
      </c>
      <c r="Q45" s="8" t="s">
        <v>77</v>
      </c>
      <c r="R45" s="8" t="s">
        <v>78</v>
      </c>
    </row>
    <row r="46" spans="9:18" s="10" customFormat="1" ht="15">
      <c r="I46" s="10">
        <f>G5-(I44*C5)-I12-G16-G14</f>
        <v>0</v>
      </c>
      <c r="J46" s="10">
        <f t="shared" si="4"/>
        <v>59675</v>
      </c>
      <c r="K46" s="10">
        <f t="shared" si="5"/>
        <v>59675</v>
      </c>
      <c r="L46" s="10">
        <f t="shared" si="5"/>
        <v>3075.54</v>
      </c>
      <c r="M46" s="19">
        <f t="shared" si="5"/>
        <v>0.0695</v>
      </c>
      <c r="N46" s="6">
        <v>59675</v>
      </c>
      <c r="O46" s="6">
        <v>3075.54</v>
      </c>
      <c r="P46" s="5">
        <v>0.0695</v>
      </c>
      <c r="R46" s="8" t="s">
        <v>79</v>
      </c>
    </row>
    <row r="47" spans="9:18" s="10" customFormat="1" ht="15">
      <c r="I47" s="18">
        <f>IF(C$7="b",26,IF(C$7="m",12,1))</f>
        <v>26</v>
      </c>
      <c r="J47" s="10">
        <f t="shared" si="4"/>
        <v>999999</v>
      </c>
      <c r="K47" s="10">
        <f t="shared" si="5"/>
        <v>999999</v>
      </c>
      <c r="L47" s="10">
        <f t="shared" si="5"/>
        <v>999999</v>
      </c>
      <c r="M47" s="19">
        <f t="shared" si="5"/>
        <v>1</v>
      </c>
      <c r="N47" s="6">
        <v>999999</v>
      </c>
      <c r="O47" s="6">
        <v>999999</v>
      </c>
      <c r="P47" s="5">
        <v>1</v>
      </c>
      <c r="Q47" s="8" t="s">
        <v>80</v>
      </c>
      <c r="R47" s="8" t="s">
        <v>81</v>
      </c>
    </row>
    <row r="48" spans="9:18" s="10" customFormat="1" ht="15">
      <c r="I48" s="10">
        <f>I46*I47</f>
        <v>0</v>
      </c>
      <c r="J48" s="10">
        <f t="shared" si="4"/>
        <v>999999</v>
      </c>
      <c r="K48" s="10">
        <f t="shared" si="5"/>
        <v>999999</v>
      </c>
      <c r="L48" s="10">
        <f t="shared" si="5"/>
        <v>999999</v>
      </c>
      <c r="M48" s="19">
        <f t="shared" si="5"/>
        <v>1</v>
      </c>
      <c r="N48" s="6">
        <v>999999</v>
      </c>
      <c r="O48" s="6">
        <v>999999</v>
      </c>
      <c r="P48">
        <v>1</v>
      </c>
      <c r="R48" s="8" t="s">
        <v>82</v>
      </c>
    </row>
    <row r="49" spans="14:18" s="10" customFormat="1" ht="15">
      <c r="N49" s="7" t="s">
        <v>83</v>
      </c>
      <c r="O49" s="7" t="s">
        <v>120</v>
      </c>
      <c r="P49" s="1" t="s">
        <v>21</v>
      </c>
      <c r="Q49" s="8" t="s">
        <v>84</v>
      </c>
      <c r="R49" s="8" t="s">
        <v>85</v>
      </c>
    </row>
    <row r="50" spans="14:18" s="10" customFormat="1" ht="15">
      <c r="N50" s="6">
        <v>0</v>
      </c>
      <c r="O50" s="6">
        <v>0</v>
      </c>
      <c r="P50" s="2">
        <v>0</v>
      </c>
      <c r="R50" s="8" t="s">
        <v>86</v>
      </c>
    </row>
    <row r="51" spans="14:18" s="10" customFormat="1" ht="15">
      <c r="N51" s="6">
        <v>7100</v>
      </c>
      <c r="O51" s="6">
        <v>0</v>
      </c>
      <c r="P51" s="4">
        <v>0.0226</v>
      </c>
      <c r="Q51" s="8" t="s">
        <v>87</v>
      </c>
      <c r="R51" s="8" t="s">
        <v>88</v>
      </c>
    </row>
    <row r="52" spans="14:18" s="10" customFormat="1" ht="15">
      <c r="N52" s="6">
        <v>10300</v>
      </c>
      <c r="O52" s="6">
        <v>72.32</v>
      </c>
      <c r="P52" s="4">
        <v>0.0322</v>
      </c>
      <c r="R52" s="8" t="s">
        <v>89</v>
      </c>
    </row>
    <row r="53" spans="14:18" s="10" customFormat="1" ht="15">
      <c r="N53" s="6">
        <v>25650</v>
      </c>
      <c r="O53" s="6">
        <v>566.59</v>
      </c>
      <c r="P53" s="4">
        <v>0.0491</v>
      </c>
      <c r="Q53" s="8" t="s">
        <v>90</v>
      </c>
      <c r="R53" s="8" t="s">
        <v>91</v>
      </c>
    </row>
    <row r="54" spans="14:18" s="10" customFormat="1" ht="15">
      <c r="N54" s="6">
        <v>39900</v>
      </c>
      <c r="O54" s="6">
        <v>1266.27</v>
      </c>
      <c r="P54" s="4">
        <v>0.062</v>
      </c>
      <c r="R54" s="8" t="s">
        <v>86</v>
      </c>
    </row>
    <row r="55" spans="14:18" s="10" customFormat="1" ht="15">
      <c r="N55" s="6">
        <v>49500</v>
      </c>
      <c r="O55" s="6">
        <v>1861.47</v>
      </c>
      <c r="P55" s="4">
        <v>0.0659</v>
      </c>
      <c r="Q55" s="8" t="s">
        <v>92</v>
      </c>
      <c r="R55" s="8" t="s">
        <v>93</v>
      </c>
    </row>
    <row r="56" spans="14:18" s="10" customFormat="1" ht="15">
      <c r="N56" s="6">
        <v>65650</v>
      </c>
      <c r="O56" s="6">
        <v>2925.76</v>
      </c>
      <c r="P56" s="5">
        <v>0.0695</v>
      </c>
      <c r="R56" s="8" t="s">
        <v>86</v>
      </c>
    </row>
    <row r="57" spans="14:18" s="10" customFormat="1" ht="15">
      <c r="N57" s="6">
        <v>9999999</v>
      </c>
      <c r="O57" s="6">
        <v>9999999</v>
      </c>
      <c r="P57" s="5">
        <v>1</v>
      </c>
      <c r="Q57" s="8" t="s">
        <v>94</v>
      </c>
      <c r="R57" s="8" t="s">
        <v>95</v>
      </c>
    </row>
    <row r="58" spans="14:18" ht="15">
      <c r="N58" s="6">
        <v>999999</v>
      </c>
      <c r="O58" s="6">
        <v>999999</v>
      </c>
      <c r="P58">
        <v>1</v>
      </c>
      <c r="R58" s="1" t="s">
        <v>96</v>
      </c>
    </row>
    <row r="59" spans="14:18" ht="15">
      <c r="N59" s="7"/>
      <c r="O59" s="7"/>
      <c r="P59" s="3"/>
      <c r="R59" s="1" t="s">
        <v>97</v>
      </c>
    </row>
    <row r="60" spans="14:18" ht="15">
      <c r="N60" s="6"/>
      <c r="O60" s="6"/>
      <c r="P60" s="2"/>
      <c r="R60" s="1" t="s">
        <v>98</v>
      </c>
    </row>
    <row r="61" spans="14:18" ht="15">
      <c r="N61" s="6"/>
      <c r="O61" s="6"/>
      <c r="P61" s="4"/>
      <c r="R61" s="1" t="s">
        <v>99</v>
      </c>
    </row>
    <row r="62" spans="14:18" ht="15">
      <c r="N62" s="6"/>
      <c r="O62" s="6"/>
      <c r="P62" s="4"/>
      <c r="R62" s="1" t="s">
        <v>100</v>
      </c>
    </row>
    <row r="63" spans="14:16" ht="15">
      <c r="N63" s="6"/>
      <c r="O63" s="6"/>
      <c r="P63" s="4"/>
    </row>
    <row r="64" spans="14:18" ht="15">
      <c r="N64" s="6"/>
      <c r="O64" s="6"/>
      <c r="P64" s="4"/>
      <c r="Q64" s="1" t="s">
        <v>101</v>
      </c>
      <c r="R64" s="1" t="s">
        <v>102</v>
      </c>
    </row>
    <row r="65" spans="14:16" ht="15">
      <c r="N65" s="6"/>
      <c r="O65" s="6"/>
      <c r="P65" s="4"/>
    </row>
    <row r="66" spans="14:18" ht="15">
      <c r="N66" s="6"/>
      <c r="O66" s="6"/>
      <c r="P66" s="5"/>
      <c r="Q66" s="1" t="s">
        <v>103</v>
      </c>
      <c r="R66" s="1" t="s">
        <v>104</v>
      </c>
    </row>
    <row r="67" spans="14:16" ht="15">
      <c r="N67" s="6"/>
      <c r="O67" s="6"/>
      <c r="P67" s="5"/>
    </row>
    <row r="68" spans="14:18" ht="15">
      <c r="N68" s="6"/>
      <c r="O68" s="6"/>
      <c r="Q68" t="s">
        <v>111</v>
      </c>
      <c r="R68" t="s">
        <v>112</v>
      </c>
    </row>
    <row r="69" spans="14:18" ht="15">
      <c r="N69" s="7"/>
      <c r="O69" s="7"/>
      <c r="P69" s="3"/>
      <c r="R69" t="s">
        <v>113</v>
      </c>
    </row>
    <row r="70" spans="14:16" ht="15">
      <c r="N70" s="6"/>
      <c r="O70" s="6"/>
      <c r="P70" s="2"/>
    </row>
    <row r="71" spans="14:18" ht="15">
      <c r="N71" s="6"/>
      <c r="O71" s="6"/>
      <c r="P71" s="4"/>
      <c r="Q71" t="s">
        <v>114</v>
      </c>
      <c r="R71" t="s">
        <v>115</v>
      </c>
    </row>
    <row r="72" spans="14:18" ht="15">
      <c r="N72" s="6"/>
      <c r="O72" s="6"/>
      <c r="P72" s="4"/>
      <c r="R72" t="s">
        <v>116</v>
      </c>
    </row>
    <row r="73" spans="14:16" ht="15">
      <c r="N73" s="6"/>
      <c r="O73" s="6"/>
      <c r="P73" s="4"/>
    </row>
    <row r="74" spans="14:16" ht="15">
      <c r="N74" s="6"/>
      <c r="O74" s="6"/>
      <c r="P74" s="4"/>
    </row>
    <row r="75" spans="14:16" ht="15">
      <c r="N75" s="6"/>
      <c r="O75" s="6"/>
      <c r="P75" s="4"/>
    </row>
    <row r="76" spans="14:16" ht="15">
      <c r="N76" s="6"/>
      <c r="O76" s="6"/>
      <c r="P76" s="5"/>
    </row>
    <row r="77" spans="14:16" ht="15">
      <c r="N77" s="6"/>
      <c r="O77" s="6"/>
      <c r="P77" s="5"/>
    </row>
    <row r="78" spans="14:16" ht="15">
      <c r="N78" s="6"/>
      <c r="O78" s="6"/>
      <c r="P78" s="4"/>
    </row>
    <row r="79" ht="15">
      <c r="P79" s="2"/>
    </row>
    <row r="80" ht="15">
      <c r="P80" s="2"/>
    </row>
    <row r="81" spans="14:16" ht="15">
      <c r="N81" s="55" t="s">
        <v>107</v>
      </c>
      <c r="O81" t="s">
        <v>108</v>
      </c>
      <c r="P81" s="2"/>
    </row>
    <row r="82" ht="15">
      <c r="P82" s="2"/>
    </row>
    <row r="83" spans="14:16" ht="15">
      <c r="N83" t="s">
        <v>121</v>
      </c>
      <c r="O83">
        <v>3950</v>
      </c>
      <c r="P83" s="2"/>
    </row>
    <row r="84" spans="14:16" ht="15">
      <c r="N84" t="s">
        <v>109</v>
      </c>
      <c r="P84" s="2"/>
    </row>
    <row r="85" ht="15">
      <c r="P85" s="2"/>
    </row>
    <row r="86" spans="14:16" ht="15">
      <c r="N86" t="s">
        <v>122</v>
      </c>
      <c r="O86">
        <v>1900</v>
      </c>
      <c r="P86" s="2"/>
    </row>
    <row r="87" ht="15">
      <c r="N87" t="s">
        <v>110</v>
      </c>
    </row>
  </sheetData>
  <sheetProtection/>
  <mergeCells count="2">
    <mergeCell ref="J22:K22"/>
    <mergeCell ref="J18:K18"/>
  </mergeCells>
  <printOptions/>
  <pageMargins left="0.75" right="0.5" top="1" bottom="0.55" header="0.5" footer="0.5"/>
  <pageSetup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1996 Net Pay Computation</dc:title>
  <dc:subject/>
  <dc:creator>Preferred Customer</dc:creator>
  <cp:keywords/>
  <dc:description/>
  <cp:lastModifiedBy>Hartley, Ramona</cp:lastModifiedBy>
  <cp:lastPrinted>2012-01-26T20:24:11Z</cp:lastPrinted>
  <dcterms:created xsi:type="dcterms:W3CDTF">1997-11-14T16:41:47Z</dcterms:created>
  <dcterms:modified xsi:type="dcterms:W3CDTF">2014-01-06T20:04:49Z</dcterms:modified>
  <cp:category/>
  <cp:version/>
  <cp:contentType/>
  <cp:contentStatus/>
</cp:coreProperties>
</file>