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Payroll\Usable Forms\"/>
    </mc:Choice>
  </mc:AlternateContent>
  <xr:revisionPtr revIDLastSave="0" documentId="13_ncr:1_{E903B429-82FC-4C2A-9E00-8F690A76B76A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PayCalc old W4" sheetId="1" r:id="rId1"/>
    <sheet name="PayCalc new W4" sheetId="2" r:id="rId2"/>
  </sheets>
  <definedNames>
    <definedName name="FEDERAL_J_Single__A_Married__H_HOH">'PayCalc new W4'!$C$14</definedName>
    <definedName name="GRW">'PayCalc old W4'!$G$5</definedName>
    <definedName name="LookupRetirement">'PayCalc old W4'!$W$2:$X$10</definedName>
    <definedName name="_xlnm.Print_Area" localSheetId="1">'PayCalc new W4'!$A$1:$G$45</definedName>
    <definedName name="_xlnm.Print_Area" localSheetId="0">'PayCalc old W4'!$B$1:$G$40</definedName>
    <definedName name="Print_Area_MI">'PayCalc old W4'!$B$1:$H$29</definedName>
    <definedName name="TS">'PayCalc old W4'!$C$18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C20" i="1"/>
  <c r="I12" i="2" l="1"/>
  <c r="I13" i="2" s="1"/>
  <c r="J14" i="2" s="1"/>
  <c r="I14" i="2"/>
  <c r="J20" i="2" l="1"/>
  <c r="J22" i="2"/>
  <c r="J21" i="2"/>
  <c r="M22" i="2"/>
  <c r="M21" i="2"/>
  <c r="M20" i="2"/>
  <c r="L22" i="2"/>
  <c r="L21" i="2"/>
  <c r="L20" i="2"/>
  <c r="K22" i="2"/>
  <c r="K21" i="2"/>
  <c r="K20" i="2"/>
  <c r="M13" i="2"/>
  <c r="M18" i="2"/>
  <c r="M16" i="2"/>
  <c r="K18" i="2"/>
  <c r="K14" i="2"/>
  <c r="M19" i="2"/>
  <c r="M17" i="2"/>
  <c r="M15" i="2"/>
  <c r="M14" i="2"/>
  <c r="J13" i="2"/>
  <c r="L19" i="2"/>
  <c r="L18" i="2"/>
  <c r="L17" i="2"/>
  <c r="L16" i="2"/>
  <c r="L15" i="2"/>
  <c r="L14" i="2"/>
  <c r="K13" i="2"/>
  <c r="K19" i="2"/>
  <c r="K17" i="2"/>
  <c r="K16" i="2"/>
  <c r="K15" i="2"/>
  <c r="L13" i="2"/>
  <c r="J19" i="2"/>
  <c r="J18" i="2"/>
  <c r="J17" i="2"/>
  <c r="J16" i="2"/>
  <c r="J15" i="2"/>
  <c r="I52" i="2" l="1"/>
  <c r="I49" i="2" s="1"/>
  <c r="I47" i="2"/>
  <c r="I48" i="2" s="1"/>
  <c r="I45" i="2"/>
  <c r="H38" i="2"/>
  <c r="H35" i="2"/>
  <c r="H33" i="2"/>
  <c r="H30" i="2"/>
  <c r="H31" i="2" s="1"/>
  <c r="G16" i="2"/>
  <c r="I20" i="2"/>
  <c r="G15" i="2"/>
  <c r="G14" i="2"/>
  <c r="I6" i="2"/>
  <c r="G5" i="2"/>
  <c r="I31" i="2" l="1"/>
  <c r="H32" i="2"/>
  <c r="I33" i="2" s="1"/>
  <c r="G7" i="2"/>
  <c r="G21" i="2" s="1"/>
  <c r="I56" i="2"/>
  <c r="K46" i="2"/>
  <c r="K45" i="2"/>
  <c r="J47" i="2"/>
  <c r="L49" i="2"/>
  <c r="K53" i="2"/>
  <c r="L52" i="2"/>
  <c r="M51" i="2"/>
  <c r="J50" i="2"/>
  <c r="K49" i="2"/>
  <c r="L48" i="2"/>
  <c r="M47" i="2"/>
  <c r="J46" i="2"/>
  <c r="J45" i="2"/>
  <c r="J53" i="2"/>
  <c r="K52" i="2"/>
  <c r="L51" i="2"/>
  <c r="M50" i="2"/>
  <c r="J49" i="2"/>
  <c r="K48" i="2"/>
  <c r="L47" i="2"/>
  <c r="M46" i="2"/>
  <c r="M45" i="2"/>
  <c r="M53" i="2"/>
  <c r="J52" i="2"/>
  <c r="K51" i="2"/>
  <c r="L50" i="2"/>
  <c r="M49" i="2"/>
  <c r="J48" i="2"/>
  <c r="K47" i="2"/>
  <c r="L46" i="2"/>
  <c r="L45" i="2"/>
  <c r="L53" i="2"/>
  <c r="M52" i="2"/>
  <c r="J51" i="2"/>
  <c r="K50" i="2"/>
  <c r="M48" i="2"/>
  <c r="H37" i="2"/>
  <c r="I38" i="2" s="1"/>
  <c r="H36" i="2"/>
  <c r="I36" i="2" s="1"/>
  <c r="G8" i="2"/>
  <c r="G13" i="2"/>
  <c r="I17" i="2" s="1"/>
  <c r="I19" i="2" s="1"/>
  <c r="I21" i="2" s="1"/>
  <c r="I47" i="1"/>
  <c r="I15" i="1"/>
  <c r="G12" i="2" l="1"/>
  <c r="G20" i="2"/>
  <c r="G6" i="2"/>
  <c r="G11" i="2"/>
  <c r="G22" i="2"/>
  <c r="G15" i="1"/>
  <c r="G16" i="1"/>
  <c r="G5" i="1"/>
  <c r="G13" i="1" s="1"/>
  <c r="G14" i="1"/>
  <c r="I44" i="1"/>
  <c r="I9" i="1"/>
  <c r="I40" i="1"/>
  <c r="I42" i="1"/>
  <c r="I43" i="1" s="1"/>
  <c r="I5" i="1"/>
  <c r="I7" i="1"/>
  <c r="I8" i="1" s="1"/>
  <c r="H25" i="1"/>
  <c r="H27" i="1" s="1"/>
  <c r="I28" i="1" s="1"/>
  <c r="H28" i="1"/>
  <c r="H30" i="1"/>
  <c r="H31" i="1" s="1"/>
  <c r="H33" i="1"/>
  <c r="H32" i="1"/>
  <c r="I31" i="1" l="1"/>
  <c r="I33" i="1"/>
  <c r="H26" i="1"/>
  <c r="I26" i="1"/>
  <c r="J8" i="1"/>
  <c r="J9" i="1"/>
  <c r="J10" i="1"/>
  <c r="J11" i="1"/>
  <c r="J12" i="1"/>
  <c r="J13" i="1"/>
  <c r="J14" i="1"/>
  <c r="J15" i="1"/>
  <c r="J16" i="1"/>
  <c r="J17" i="1"/>
  <c r="M8" i="1"/>
  <c r="M16" i="1"/>
  <c r="K9" i="1"/>
  <c r="K10" i="1"/>
  <c r="K11" i="1"/>
  <c r="K12" i="1"/>
  <c r="K13" i="1"/>
  <c r="K14" i="1"/>
  <c r="K15" i="1"/>
  <c r="K16" i="1"/>
  <c r="K17" i="1"/>
  <c r="L8" i="1"/>
  <c r="M17" i="1"/>
  <c r="L9" i="1"/>
  <c r="L10" i="1"/>
  <c r="L11" i="1"/>
  <c r="L12" i="1"/>
  <c r="L13" i="1"/>
  <c r="L14" i="1"/>
  <c r="L15" i="1"/>
  <c r="L16" i="1"/>
  <c r="L17" i="1"/>
  <c r="K8" i="1"/>
  <c r="M9" i="1"/>
  <c r="M10" i="1"/>
  <c r="M11" i="1"/>
  <c r="M12" i="1"/>
  <c r="M13" i="1"/>
  <c r="M14" i="1"/>
  <c r="M15" i="1"/>
  <c r="I51" i="2"/>
  <c r="G7" i="1"/>
  <c r="G20" i="1" s="1"/>
  <c r="G8" i="1"/>
  <c r="G6" i="1"/>
  <c r="I12" i="1"/>
  <c r="I46" i="1" s="1"/>
  <c r="I48" i="1" s="1"/>
  <c r="I45" i="1" s="1"/>
  <c r="G22" i="1"/>
  <c r="L42" i="1"/>
  <c r="J46" i="1"/>
  <c r="J43" i="1"/>
  <c r="K48" i="1"/>
  <c r="L45" i="1"/>
  <c r="K45" i="1"/>
  <c r="M42" i="1"/>
  <c r="M47" i="1"/>
  <c r="L40" i="1"/>
  <c r="K40" i="1"/>
  <c r="M43" i="1"/>
  <c r="L48" i="1"/>
  <c r="L41" i="1"/>
  <c r="J45" i="1"/>
  <c r="K47" i="1"/>
  <c r="M41" i="1"/>
  <c r="J48" i="1"/>
  <c r="J44" i="1"/>
  <c r="K43" i="1"/>
  <c r="M45" i="1"/>
  <c r="M44" i="1"/>
  <c r="K41" i="1"/>
  <c r="M46" i="1"/>
  <c r="L43" i="1"/>
  <c r="L47" i="1"/>
  <c r="J42" i="1"/>
  <c r="K42" i="1"/>
  <c r="J41" i="1"/>
  <c r="J40" i="1"/>
  <c r="K46" i="1"/>
  <c r="L44" i="1"/>
  <c r="L46" i="1"/>
  <c r="J47" i="1"/>
  <c r="M40" i="1"/>
  <c r="M48" i="1"/>
  <c r="K44" i="1"/>
  <c r="I53" i="2" l="1"/>
  <c r="I50" i="2" s="1"/>
  <c r="G10" i="2" s="1"/>
  <c r="I15" i="2"/>
  <c r="I57" i="2" s="1"/>
  <c r="I58" i="2" s="1"/>
  <c r="G9" i="2" s="1"/>
  <c r="G12" i="1"/>
  <c r="G11" i="1"/>
  <c r="G21" i="1"/>
  <c r="I14" i="1"/>
  <c r="I16" i="1" s="1"/>
  <c r="I10" i="1" s="1"/>
  <c r="G9" i="1" s="1"/>
  <c r="G10" i="1"/>
  <c r="G17" i="1" l="1"/>
  <c r="G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Olsen, Philip</author>
    <author>Carlson, Ron</author>
  </authors>
  <commentList>
    <comment ref="I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Withholding Allowance per pay period</t>
        </r>
      </text>
    </comment>
    <comment ref="I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Retirement</t>
        </r>
      </text>
    </comment>
    <comment ref="I5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Carlson, Ron:</t>
        </r>
        <r>
          <rPr>
            <sz val="9"/>
            <color indexed="81"/>
            <rFont val="Tahoma"/>
            <family val="2"/>
          </rPr>
          <t xml:space="preserve">
dependent credit per pay period
</t>
        </r>
      </text>
    </comment>
    <comment ref="I5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FIT Before Dependent Credit</t>
        </r>
      </text>
    </comment>
  </commentList>
</comments>
</file>

<file path=xl/sharedStrings.xml><?xml version="1.0" encoding="utf-8"?>
<sst xmlns="http://schemas.openxmlformats.org/spreadsheetml/2006/main" count="435" uniqueCount="180">
  <si>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</si>
  <si>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</si>
  <si>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</si>
  <si>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</si>
  <si>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</si>
  <si>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</si>
  <si>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</si>
  <si>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</si>
  <si>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</si>
  <si>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</si>
  <si>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</si>
  <si>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</si>
  <si>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</si>
  <si>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</si>
  <si>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</si>
  <si>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</si>
  <si>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</si>
  <si>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</si>
  <si>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</si>
  <si>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</si>
  <si>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</si>
  <si>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</si>
  <si>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</si>
  <si>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G4 thru G8</t>
  </si>
  <si>
    <t xml:space="preserve">These cells compare entries for pay cycle and marital 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</si>
  <si>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</si>
  <si>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</si>
  <si>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</si>
  <si>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</si>
  <si>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</si>
  <si>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explained in the next group.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</si>
  <si>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</si>
  <si>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</si>
  <si>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</si>
  <si>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</si>
  <si>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</si>
  <si>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</si>
  <si>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</si>
  <si>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>Deductions</t>
  </si>
  <si>
    <t>determine the proper amount to allow for each exemption.</t>
  </si>
  <si>
    <t>G10 and G45</t>
  </si>
  <si>
    <t xml:space="preserve">This cell computes taxable wages by taking total gross 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</si>
  <si>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</si>
  <si>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</si>
  <si>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</si>
  <si>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</si>
  <si>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and then determines the amount for use in cell G10 &amp; G45.</t>
  </si>
  <si>
    <t>State Contribution</t>
  </si>
  <si>
    <t>E11</t>
  </si>
  <si>
    <t>Comutes total gross by multiplying the values enter in</t>
  </si>
  <si>
    <t>column B.</t>
  </si>
  <si>
    <t>E14</t>
  </si>
  <si>
    <t xml:space="preserve">Computes federal tax withholding by using the table 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</si>
  <si>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</si>
  <si>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</si>
  <si>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</si>
  <si>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</si>
  <si>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</si>
  <si>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</si>
  <si>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</si>
  <si>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</si>
  <si>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</si>
  <si>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</si>
  <si>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</si>
  <si>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</si>
  <si>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</si>
  <si>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</si>
  <si>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</si>
  <si>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</si>
  <si>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</si>
  <si>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</si>
  <si>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</si>
  <si>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</si>
  <si>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</si>
  <si>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</si>
  <si>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</si>
  <si>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</si>
  <si>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</si>
  <si>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</si>
  <si>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</si>
  <si>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</si>
  <si>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</si>
  <si>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</si>
  <si>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</si>
  <si>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</si>
  <si>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</si>
  <si>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</si>
  <si>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</si>
  <si>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</si>
  <si>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</si>
  <si>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</si>
  <si>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</si>
  <si>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</si>
  <si>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</si>
  <si>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</si>
  <si>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</si>
  <si>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</si>
  <si>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</si>
  <si>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</si>
  <si>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</si>
  <si>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</si>
  <si>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</si>
  <si>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</si>
  <si>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</si>
  <si>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</si>
  <si>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</si>
  <si>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</si>
  <si>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</si>
  <si>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</si>
  <si>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</si>
  <si>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</si>
  <si>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</si>
  <si>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</si>
  <si>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Child Support</t>
  </si>
  <si>
    <t xml:space="preserve">Net Take Home Pay </t>
  </si>
  <si>
    <t>Employee Name</t>
  </si>
  <si>
    <t>Address Book #</t>
  </si>
  <si>
    <t>Federal Soc Sec</t>
  </si>
  <si>
    <t>Federal Medicare</t>
  </si>
  <si>
    <t>S</t>
  </si>
  <si>
    <t>Additional FIT</t>
  </si>
  <si>
    <t>Additional SIT</t>
  </si>
  <si>
    <t>Deferred Comp  $ Withheld</t>
  </si>
  <si>
    <t>Protect the sheet when done.</t>
  </si>
  <si>
    <t xml:space="preserve"> </t>
  </si>
  <si>
    <t>T</t>
  </si>
  <si>
    <t>Rate per hour or total amount</t>
  </si>
  <si>
    <t>Number of hours or 1 for total above</t>
  </si>
  <si>
    <t>Retirement Percentage</t>
  </si>
  <si>
    <t>Code</t>
  </si>
  <si>
    <t>Percent</t>
  </si>
  <si>
    <t>J1</t>
  </si>
  <si>
    <t>J2</t>
  </si>
  <si>
    <t>J3</t>
  </si>
  <si>
    <t>J4</t>
  </si>
  <si>
    <t>P</t>
  </si>
  <si>
    <t>S=State, T=Teacher, J=Judge, P=Patrol</t>
  </si>
  <si>
    <t>State Portion Retirement</t>
  </si>
  <si>
    <t>State Percentages</t>
  </si>
  <si>
    <t>OT Hours or 0 if amount in total above</t>
  </si>
  <si>
    <t>% Withheld</t>
  </si>
  <si>
    <t>(Y or N)</t>
  </si>
  <si>
    <t>J5</t>
  </si>
  <si>
    <r>
      <rPr>
        <b/>
        <sz val="10"/>
        <rFont val="Arial"/>
        <family val="2"/>
      </rPr>
      <t>B=</t>
    </r>
    <r>
      <rPr>
        <sz val="10"/>
        <rFont val="Arial"/>
        <family val="2"/>
      </rPr>
      <t xml:space="preserve">bi-weekly,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monthly</t>
    </r>
  </si>
  <si>
    <r>
      <rPr>
        <b/>
        <sz val="10"/>
        <rFont val="Arial"/>
        <family val="2"/>
      </rPr>
      <t>S=</t>
    </r>
    <r>
      <rPr>
        <sz val="10"/>
        <rFont val="Arial"/>
        <family val="2"/>
      </rPr>
      <t xml:space="preserve">Single or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Married</t>
    </r>
  </si>
  <si>
    <t>Judges, J1=9%,J2=7%,J3=5%,J4=1%,J5=10%</t>
  </si>
  <si>
    <t>Bus Pass</t>
  </si>
  <si>
    <t>Health</t>
  </si>
  <si>
    <t>Dental</t>
  </si>
  <si>
    <t>Vision</t>
  </si>
  <si>
    <t>Parking</t>
  </si>
  <si>
    <t>Dependent Care</t>
  </si>
  <si>
    <t>Health Savings Account</t>
  </si>
  <si>
    <t>Medical Reimbursment</t>
  </si>
  <si>
    <t xml:space="preserve">               NOTES:</t>
  </si>
  <si>
    <t>Pre-Tax</t>
  </si>
  <si>
    <t>Post-Tax</t>
  </si>
  <si>
    <t>Post-Tax Deductions</t>
  </si>
  <si>
    <t>Pre-Tax Deductions</t>
  </si>
  <si>
    <t>Tax Tables</t>
  </si>
  <si>
    <t>B</t>
  </si>
  <si>
    <t>Y</t>
  </si>
  <si>
    <t>State Exemptions</t>
  </si>
  <si>
    <t>Multiple Job Flag (W-4 Step 2(c))</t>
  </si>
  <si>
    <t>N</t>
  </si>
  <si>
    <t>Other Income - W4 line 4a</t>
  </si>
  <si>
    <t>Other Deductions - W4 line 4b</t>
  </si>
  <si>
    <t>Dependent credit - W4 line 3</t>
  </si>
  <si>
    <t>Maried</t>
  </si>
  <si>
    <t>Single/HOH</t>
  </si>
  <si>
    <t>HOH</t>
  </si>
  <si>
    <r>
      <t xml:space="preserve">STATE </t>
    </r>
    <r>
      <rPr>
        <b/>
        <sz val="10"/>
        <rFont val="Arial"/>
        <family val="2"/>
      </rPr>
      <t>S=</t>
    </r>
    <r>
      <rPr>
        <sz val="10"/>
        <rFont val="Arial"/>
        <family val="2"/>
      </rPr>
      <t xml:space="preserve">Single or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Married</t>
    </r>
  </si>
  <si>
    <r>
      <t xml:space="preserve">FEDERAL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=Single,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=Married,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=HOH </t>
    </r>
  </si>
  <si>
    <t>j</t>
  </si>
  <si>
    <t>a</t>
  </si>
  <si>
    <t>h</t>
  </si>
  <si>
    <t>A</t>
  </si>
  <si>
    <t>M</t>
  </si>
  <si>
    <t>Payroll Calculation for 2021</t>
  </si>
  <si>
    <t>updated 20210226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</si>
</sst>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0_)"/>
    <numFmt numFmtId="165" formatCode="0_)"/>
    <numFmt numFmtId="166" formatCode="General_)"/>
    <numFmt numFmtId="167" formatCode="0.00_)"/>
    <numFmt numFmtId="168" formatCode="0.0000_)"/>
    <numFmt numFmtId="169" formatCode="&quot;$&quot;#,##0.00"/>
    <numFmt numFmtId="170" formatCode="&quot;$&quot;#,##0.000"/>
  </numFmts>
  <fonts count="11">
    <font>
      <sz val="12"/>
      <name val="Arial MT"/>
    </font>
    <font>
      <sz val="10"/>
      <name val="Arial"/>
      <family val="2"/>
    </font>
    <font>
      <sz val="10"/>
      <name val="Arial MT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MT"/>
    </font>
    <font>
      <sz val="8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7" fontId="0" fillId="0" borderId="0"/>
    <xf numFmtId="9" fontId="1" fillId="0" borderId="0" applyFont="0" applyFill="0" applyBorder="0" applyAlignment="0" applyProtection="0"/>
  </cellStyleXfs>
  <cellXfs count="143">
    <xf numFmtId="167" fontId="0" fillId="0" borderId="0" xfId="0"/>
    <xf numFmtId="167" fontId="0" fillId="0" borderId="0" xfId="0" applyAlignment="1">
      <alignment horizontal="left"/>
    </xf>
    <xf numFmtId="167" fontId="2" fillId="0" borderId="0" xfId="0" applyFont="1" applyAlignment="1">
      <alignment horizontal="left"/>
    </xf>
    <xf numFmtId="165" fontId="2" fillId="0" borderId="0" xfId="0" applyNumberFormat="1" applyFont="1" applyProtection="1"/>
    <xf numFmtId="167" fontId="2" fillId="0" borderId="0" xfId="0" applyFont="1"/>
    <xf numFmtId="4" fontId="2" fillId="0" borderId="0" xfId="0" applyNumberFormat="1" applyFont="1"/>
    <xf numFmtId="166" fontId="2" fillId="0" borderId="0" xfId="0" applyNumberFormat="1" applyFont="1" applyProtection="1"/>
    <xf numFmtId="7" fontId="2" fillId="0" borderId="0" xfId="0" applyNumberFormat="1" applyFont="1" applyProtection="1"/>
    <xf numFmtId="39" fontId="2" fillId="0" borderId="0" xfId="0" applyNumberFormat="1" applyFont="1" applyProtection="1"/>
    <xf numFmtId="165" fontId="2" fillId="0" borderId="0" xfId="0" applyNumberFormat="1" applyFont="1"/>
    <xf numFmtId="168" fontId="2" fillId="0" borderId="0" xfId="0" applyNumberFormat="1" applyFont="1" applyProtection="1"/>
    <xf numFmtId="167" fontId="2" fillId="2" borderId="0" xfId="0" applyFont="1" applyFill="1" applyBorder="1"/>
    <xf numFmtId="167" fontId="2" fillId="0" borderId="0" xfId="0" applyFont="1" applyBorder="1"/>
    <xf numFmtId="0" fontId="2" fillId="2" borderId="0" xfId="0" applyNumberFormat="1" applyFont="1" applyFill="1" applyBorder="1"/>
    <xf numFmtId="167" fontId="0" fillId="0" borderId="0" xfId="0" applyAlignment="1">
      <alignment horizontal="right"/>
    </xf>
    <xf numFmtId="167" fontId="2" fillId="2" borderId="1" xfId="0" applyFont="1" applyFill="1" applyBorder="1"/>
    <xf numFmtId="167" fontId="2" fillId="2" borderId="2" xfId="0" applyFont="1" applyFill="1" applyBorder="1"/>
    <xf numFmtId="0" fontId="2" fillId="3" borderId="3" xfId="0" applyNumberFormat="1" applyFont="1" applyFill="1" applyBorder="1" applyAlignment="1">
      <alignment horizontal="right"/>
    </xf>
    <xf numFmtId="169" fontId="2" fillId="3" borderId="3" xfId="0" applyNumberFormat="1" applyFont="1" applyFill="1" applyBorder="1"/>
    <xf numFmtId="167" fontId="2" fillId="2" borderId="4" xfId="0" applyFont="1" applyFill="1" applyBorder="1"/>
    <xf numFmtId="7" fontId="2" fillId="2" borderId="0" xfId="0" applyNumberFormat="1" applyFont="1" applyFill="1" applyBorder="1"/>
    <xf numFmtId="7" fontId="2" fillId="2" borderId="5" xfId="0" applyNumberFormat="1" applyFont="1" applyFill="1" applyBorder="1"/>
    <xf numFmtId="0" fontId="2" fillId="2" borderId="5" xfId="0" applyNumberFormat="1" applyFont="1" applyFill="1" applyBorder="1"/>
    <xf numFmtId="167" fontId="2" fillId="2" borderId="6" xfId="0" applyFont="1" applyFill="1" applyBorder="1"/>
    <xf numFmtId="2" fontId="2" fillId="2" borderId="0" xfId="0" applyNumberFormat="1" applyFont="1" applyFill="1" applyBorder="1"/>
    <xf numFmtId="7" fontId="2" fillId="2" borderId="0" xfId="0" applyNumberFormat="1" applyFont="1" applyFill="1" applyBorder="1" applyProtection="1"/>
    <xf numFmtId="10" fontId="2" fillId="0" borderId="0" xfId="1" applyNumberFormat="1" applyFont="1"/>
    <xf numFmtId="167" fontId="0" fillId="0" borderId="0" xfId="0" applyFont="1"/>
    <xf numFmtId="167" fontId="0" fillId="0" borderId="0" xfId="0" applyFont="1" applyFill="1"/>
    <xf numFmtId="167" fontId="2" fillId="0" borderId="0" xfId="0" applyFont="1" applyFill="1"/>
    <xf numFmtId="10" fontId="2" fillId="0" borderId="0" xfId="0" applyNumberFormat="1" applyFont="1" applyFill="1"/>
    <xf numFmtId="167" fontId="0" fillId="0" borderId="0" xfId="0" applyFont="1" applyFill="1" applyAlignment="1">
      <alignment vertical="top"/>
    </xf>
    <xf numFmtId="167" fontId="3" fillId="0" borderId="4" xfId="0" applyFont="1" applyFill="1" applyBorder="1"/>
    <xf numFmtId="167" fontId="3" fillId="3" borderId="7" xfId="0" applyFont="1" applyFill="1" applyBorder="1"/>
    <xf numFmtId="167" fontId="3" fillId="3" borderId="8" xfId="0" quotePrefix="1" applyFont="1" applyFill="1" applyBorder="1" applyAlignment="1">
      <alignment horizontal="left"/>
    </xf>
    <xf numFmtId="167" fontId="3" fillId="3" borderId="8" xfId="0" applyFont="1" applyFill="1" applyBorder="1"/>
    <xf numFmtId="167" fontId="1" fillId="3" borderId="9" xfId="0" applyFont="1" applyFill="1" applyBorder="1" applyAlignment="1">
      <alignment horizontal="left"/>
    </xf>
    <xf numFmtId="167" fontId="3" fillId="0" borderId="0" xfId="0" applyFont="1"/>
    <xf numFmtId="167" fontId="3" fillId="0" borderId="10" xfId="0" applyFont="1" applyBorder="1"/>
    <xf numFmtId="167" fontId="3" fillId="0" borderId="1" xfId="0" applyFont="1" applyBorder="1"/>
    <xf numFmtId="167" fontId="3" fillId="0" borderId="2" xfId="0" applyFont="1" applyBorder="1"/>
    <xf numFmtId="167" fontId="3" fillId="0" borderId="11" xfId="0" applyFont="1" applyBorder="1"/>
    <xf numFmtId="167" fontId="3" fillId="0" borderId="0" xfId="0" applyFont="1" applyBorder="1"/>
    <xf numFmtId="167" fontId="3" fillId="0" borderId="4" xfId="0" applyFont="1" applyBorder="1"/>
    <xf numFmtId="167" fontId="1" fillId="0" borderId="0" xfId="0" applyFont="1"/>
    <xf numFmtId="167" fontId="1" fillId="0" borderId="12" xfId="0" applyFont="1" applyBorder="1"/>
    <xf numFmtId="167" fontId="1" fillId="0" borderId="5" xfId="0" applyFont="1" applyBorder="1"/>
    <xf numFmtId="167" fontId="1" fillId="0" borderId="6" xfId="0" applyFont="1" applyBorder="1"/>
    <xf numFmtId="167" fontId="4" fillId="4" borderId="13" xfId="0" applyFont="1" applyFill="1" applyBorder="1" applyAlignment="1">
      <alignment horizontal="left"/>
    </xf>
    <xf numFmtId="167" fontId="3" fillId="5" borderId="3" xfId="0" applyFont="1" applyFill="1" applyBorder="1"/>
    <xf numFmtId="167" fontId="1" fillId="2" borderId="0" xfId="0" applyFont="1" applyFill="1" applyBorder="1"/>
    <xf numFmtId="167" fontId="1" fillId="2" borderId="0" xfId="0" applyFont="1" applyFill="1" applyBorder="1" applyAlignment="1">
      <alignment horizontal="left"/>
    </xf>
    <xf numFmtId="169" fontId="1" fillId="2" borderId="14" xfId="0" applyNumberFormat="1" applyFont="1" applyFill="1" applyBorder="1" applyProtection="1">
      <protection locked="0" hidden="1"/>
    </xf>
    <xf numFmtId="167" fontId="4" fillId="6" borderId="15" xfId="0" applyFont="1" applyFill="1" applyBorder="1" applyAlignment="1">
      <alignment horizontal="left"/>
    </xf>
    <xf numFmtId="167" fontId="1" fillId="6" borderId="15" xfId="0" applyFont="1" applyFill="1" applyBorder="1"/>
    <xf numFmtId="167" fontId="3" fillId="5" borderId="3" xfId="0" applyFont="1" applyFill="1" applyBorder="1" applyAlignment="1">
      <alignment horizontal="left"/>
    </xf>
    <xf numFmtId="169" fontId="1" fillId="2" borderId="16" xfId="0" applyNumberFormat="1" applyFont="1" applyFill="1" applyBorder="1" applyProtection="1">
      <protection locked="0" hidden="1"/>
    </xf>
    <xf numFmtId="167" fontId="1" fillId="4" borderId="15" xfId="0" applyFont="1" applyFill="1" applyBorder="1" applyAlignment="1">
      <alignment horizontal="left"/>
    </xf>
    <xf numFmtId="167" fontId="1" fillId="4" borderId="15" xfId="0" applyFont="1" applyFill="1" applyBorder="1" applyAlignment="1" applyProtection="1">
      <alignment horizontal="right"/>
      <protection locked="0"/>
    </xf>
    <xf numFmtId="167" fontId="1" fillId="5" borderId="3" xfId="0" applyFont="1" applyFill="1" applyBorder="1" applyAlignment="1">
      <alignment horizontal="left"/>
    </xf>
    <xf numFmtId="167" fontId="1" fillId="2" borderId="17" xfId="0" applyFont="1" applyFill="1" applyBorder="1"/>
    <xf numFmtId="167" fontId="1" fillId="2" borderId="18" xfId="0" applyFont="1" applyFill="1" applyBorder="1" applyAlignment="1">
      <alignment horizontal="left"/>
    </xf>
    <xf numFmtId="169" fontId="1" fillId="2" borderId="19" xfId="0" applyNumberFormat="1" applyFont="1" applyFill="1" applyBorder="1" applyProtection="1">
      <protection locked="0" hidden="1"/>
    </xf>
    <xf numFmtId="167" fontId="1" fillId="2" borderId="0" xfId="0" applyFont="1" applyFill="1"/>
    <xf numFmtId="167" fontId="1" fillId="4" borderId="15" xfId="0" applyFont="1" applyFill="1" applyBorder="1"/>
    <xf numFmtId="169" fontId="1" fillId="4" borderId="15" xfId="0" applyNumberFormat="1" applyFont="1" applyFill="1" applyBorder="1" applyProtection="1">
      <protection locked="0"/>
    </xf>
    <xf numFmtId="167" fontId="1" fillId="5" borderId="20" xfId="0" applyFont="1" applyFill="1" applyBorder="1"/>
    <xf numFmtId="167" fontId="4" fillId="5" borderId="21" xfId="0" applyFont="1" applyFill="1" applyBorder="1" applyAlignment="1">
      <alignment horizontal="left"/>
    </xf>
    <xf numFmtId="167" fontId="1" fillId="2" borderId="16" xfId="0" applyFont="1" applyFill="1" applyBorder="1" applyProtection="1">
      <protection locked="0" hidden="1"/>
    </xf>
    <xf numFmtId="167" fontId="1" fillId="5" borderId="22" xfId="0" applyFont="1" applyFill="1" applyBorder="1" applyProtection="1">
      <protection locked="0" hidden="1"/>
    </xf>
    <xf numFmtId="167" fontId="1" fillId="3" borderId="0" xfId="0" applyFont="1" applyFill="1" applyBorder="1"/>
    <xf numFmtId="167" fontId="1" fillId="3" borderId="0" xfId="0" applyFont="1" applyFill="1" applyBorder="1" applyAlignment="1">
      <alignment horizontal="left"/>
    </xf>
    <xf numFmtId="169" fontId="1" fillId="3" borderId="16" xfId="0" applyNumberFormat="1" applyFont="1" applyFill="1" applyBorder="1" applyProtection="1">
      <protection locked="0" hidden="1"/>
    </xf>
    <xf numFmtId="167" fontId="4" fillId="6" borderId="15" xfId="0" applyFont="1" applyFill="1" applyBorder="1" applyAlignment="1">
      <alignment horizontal="center"/>
    </xf>
    <xf numFmtId="167" fontId="1" fillId="3" borderId="23" xfId="0" applyFont="1" applyFill="1" applyBorder="1"/>
    <xf numFmtId="169" fontId="1" fillId="3" borderId="16" xfId="0" applyNumberFormat="1" applyFont="1" applyFill="1" applyBorder="1"/>
    <xf numFmtId="167" fontId="1" fillId="2" borderId="24" xfId="0" applyFont="1" applyFill="1" applyBorder="1" applyAlignment="1" applyProtection="1">
      <alignment vertical="top" wrapText="1"/>
      <protection locked="0"/>
    </xf>
    <xf numFmtId="167" fontId="1" fillId="2" borderId="25" xfId="0" applyFont="1" applyFill="1" applyBorder="1" applyAlignment="1" applyProtection="1">
      <alignment vertical="top" wrapText="1"/>
      <protection locked="0"/>
    </xf>
    <xf numFmtId="167" fontId="1" fillId="2" borderId="26" xfId="0" applyFont="1" applyFill="1" applyBorder="1" applyAlignment="1" applyProtection="1">
      <alignment vertical="top" wrapText="1"/>
      <protection locked="0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9" fontId="1" fillId="6" borderId="15" xfId="0" applyNumberFormat="1" applyFont="1" applyFill="1" applyBorder="1"/>
    <xf numFmtId="167" fontId="1" fillId="7" borderId="15" xfId="0" applyFont="1" applyFill="1" applyBorder="1" applyProtection="1">
      <protection locked="0"/>
    </xf>
    <xf numFmtId="167" fontId="1" fillId="4" borderId="15" xfId="0" applyFont="1" applyFill="1" applyBorder="1" applyAlignment="1" applyProtection="1">
      <alignment horizontal="left"/>
      <protection locked="0"/>
    </xf>
    <xf numFmtId="167" fontId="1" fillId="5" borderId="13" xfId="0" applyFont="1" applyFill="1" applyBorder="1" applyAlignment="1">
      <alignment horizontal="left"/>
    </xf>
    <xf numFmtId="167" fontId="1" fillId="3" borderId="27" xfId="0" applyFont="1" applyFill="1" applyBorder="1"/>
    <xf numFmtId="167" fontId="5" fillId="4" borderId="15" xfId="0" applyFont="1" applyFill="1" applyBorder="1" applyAlignment="1">
      <alignment horizontal="left"/>
    </xf>
    <xf numFmtId="167" fontId="1" fillId="2" borderId="0" xfId="0" applyFont="1" applyFill="1" applyAlignment="1">
      <alignment horizontal="left"/>
    </xf>
    <xf numFmtId="167" fontId="1" fillId="3" borderId="0" xfId="0" applyFont="1" applyFill="1" applyAlignment="1">
      <alignment horizontal="left"/>
    </xf>
    <xf numFmtId="167" fontId="1" fillId="3" borderId="0" xfId="0" applyFont="1" applyFill="1" applyBorder="1" applyAlignment="1" applyProtection="1">
      <alignment horizontal="left"/>
      <protection locked="0"/>
    </xf>
    <xf numFmtId="167" fontId="3" fillId="2" borderId="0" xfId="0" applyFont="1" applyFill="1" applyAlignment="1" applyProtection="1">
      <alignment horizontal="center" vertical="top" wrapText="1"/>
      <protection locked="0"/>
    </xf>
    <xf numFmtId="164" fontId="0" fillId="8" borderId="0" xfId="0" applyNumberFormat="1" applyFill="1" applyProtection="1"/>
    <xf numFmtId="164" fontId="0" fillId="8" borderId="0" xfId="0" applyNumberFormat="1" applyFill="1" applyAlignment="1" applyProtection="1">
      <alignment horizontal="left"/>
    </xf>
    <xf numFmtId="4" fontId="0" fillId="8" borderId="0" xfId="0" applyNumberFormat="1" applyFill="1"/>
    <xf numFmtId="167" fontId="0" fillId="8" borderId="0" xfId="0" applyFill="1"/>
    <xf numFmtId="4" fontId="0" fillId="8" borderId="0" xfId="0" applyNumberFormat="1" applyFill="1" applyAlignment="1">
      <alignment horizontal="left"/>
    </xf>
    <xf numFmtId="4" fontId="2" fillId="8" borderId="0" xfId="0" applyNumberFormat="1" applyFont="1" applyFill="1"/>
    <xf numFmtId="164" fontId="2" fillId="8" borderId="0" xfId="0" applyNumberFormat="1" applyFont="1" applyFill="1" applyProtection="1"/>
    <xf numFmtId="168" fontId="0" fillId="8" borderId="0" xfId="0" applyNumberFormat="1" applyFill="1" applyProtection="1"/>
    <xf numFmtId="168" fontId="0" fillId="8" borderId="0" xfId="0" applyNumberFormat="1" applyFill="1"/>
    <xf numFmtId="167" fontId="6" fillId="8" borderId="0" xfId="0" applyFont="1" applyFill="1" applyAlignment="1">
      <alignment horizontal="right"/>
    </xf>
    <xf numFmtId="167" fontId="6" fillId="8" borderId="0" xfId="0" applyFont="1" applyFill="1" applyAlignment="1">
      <alignment horizontal="left"/>
    </xf>
    <xf numFmtId="164" fontId="6" fillId="8" borderId="0" xfId="0" applyNumberFormat="1" applyFont="1" applyFill="1" applyAlignment="1" applyProtection="1">
      <alignment horizontal="left"/>
    </xf>
    <xf numFmtId="4" fontId="6" fillId="8" borderId="0" xfId="0" applyNumberFormat="1" applyFont="1" applyFill="1" applyAlignment="1">
      <alignment horizontal="left"/>
    </xf>
    <xf numFmtId="167" fontId="6" fillId="8" borderId="0" xfId="0" applyFont="1" applyFill="1"/>
    <xf numFmtId="167" fontId="6" fillId="8" borderId="0" xfId="0" applyFont="1" applyFill="1" applyAlignment="1">
      <alignment horizontal="center"/>
    </xf>
    <xf numFmtId="167" fontId="7" fillId="3" borderId="28" xfId="0" applyFont="1" applyFill="1" applyBorder="1" applyAlignment="1">
      <alignment horizontal="center"/>
    </xf>
    <xf numFmtId="169" fontId="1" fillId="4" borderId="15" xfId="0" applyNumberFormat="1" applyFont="1" applyFill="1" applyBorder="1" applyAlignment="1" applyProtection="1">
      <protection locked="0"/>
    </xf>
    <xf numFmtId="169" fontId="1" fillId="4" borderId="15" xfId="0" applyNumberFormat="1" applyFont="1" applyFill="1" applyBorder="1" applyAlignment="1"/>
    <xf numFmtId="169" fontId="1" fillId="7" borderId="15" xfId="0" applyNumberFormat="1" applyFont="1" applyFill="1" applyBorder="1" applyAlignment="1" applyProtection="1">
      <protection locked="0"/>
    </xf>
    <xf numFmtId="169" fontId="4" fillId="5" borderId="22" xfId="0" applyNumberFormat="1" applyFont="1" applyFill="1" applyBorder="1" applyProtection="1">
      <protection locked="0" hidden="1"/>
    </xf>
    <xf numFmtId="170" fontId="1" fillId="4" borderId="15" xfId="0" applyNumberFormat="1" applyFont="1" applyFill="1" applyBorder="1" applyProtection="1">
      <protection locked="0"/>
    </xf>
    <xf numFmtId="1" fontId="1" fillId="4" borderId="13" xfId="0" applyNumberFormat="1" applyFont="1" applyFill="1" applyBorder="1" applyAlignment="1" applyProtection="1">
      <alignment horizontal="right"/>
      <protection locked="0"/>
    </xf>
    <xf numFmtId="2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/>
    <xf numFmtId="167" fontId="1" fillId="0" borderId="0" xfId="0" applyFont="1" applyFill="1" applyBorder="1" applyAlignment="1">
      <alignment horizontal="left"/>
    </xf>
    <xf numFmtId="167" fontId="4" fillId="0" borderId="0" xfId="0" applyFont="1" applyFill="1" applyBorder="1" applyAlignment="1">
      <alignment horizontal="left"/>
    </xf>
    <xf numFmtId="167" fontId="1" fillId="0" borderId="0" xfId="0" applyFont="1" applyFill="1" applyBorder="1" applyAlignment="1" applyProtection="1">
      <alignment horizontal="left"/>
      <protection locked="0"/>
    </xf>
    <xf numFmtId="167" fontId="0" fillId="0" borderId="0" xfId="0" applyFill="1" applyBorder="1"/>
    <xf numFmtId="167" fontId="0" fillId="0" borderId="0" xfId="0" applyFill="1" applyBorder="1" applyAlignment="1">
      <alignment horizontal="center"/>
    </xf>
    <xf numFmtId="167" fontId="2" fillId="0" borderId="0" xfId="0" applyFont="1" applyFill="1" applyBorder="1"/>
    <xf numFmtId="167" fontId="0" fillId="0" borderId="0" xfId="0" applyFont="1" applyFill="1" applyBorder="1" applyAlignment="1">
      <alignment horizontal="center"/>
    </xf>
    <xf numFmtId="167" fontId="0" fillId="0" borderId="0" xfId="0" applyFont="1" applyFill="1" applyBorder="1"/>
    <xf numFmtId="169" fontId="1" fillId="9" borderId="15" xfId="0" applyNumberFormat="1" applyFont="1" applyFill="1" applyBorder="1" applyProtection="1">
      <protection locked="0"/>
    </xf>
    <xf numFmtId="167" fontId="8" fillId="4" borderId="13" xfId="0" applyFont="1" applyFill="1" applyBorder="1" applyAlignment="1">
      <alignment horizontal="left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9" fontId="2" fillId="0" borderId="0" xfId="0" applyNumberFormat="1" applyFont="1"/>
    <xf numFmtId="10" fontId="1" fillId="4" borderId="15" xfId="1" applyNumberFormat="1" applyFont="1" applyFill="1" applyBorder="1" applyProtection="1"/>
    <xf numFmtId="10" fontId="1" fillId="4" borderId="15" xfId="1" applyNumberFormat="1" applyFont="1" applyFill="1" applyBorder="1" applyProtection="1">
      <protection hidden="1"/>
    </xf>
    <xf numFmtId="0" fontId="2" fillId="10" borderId="23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0" fontId="2" fillId="10" borderId="29" xfId="0" applyNumberFormat="1" applyFont="1" applyFill="1" applyBorder="1" applyAlignment="1">
      <alignment horizontal="center"/>
    </xf>
    <xf numFmtId="167" fontId="2" fillId="0" borderId="14" xfId="0" applyFont="1" applyBorder="1" applyAlignment="1">
      <alignment horizontal="center"/>
    </xf>
    <xf numFmtId="167" fontId="3" fillId="0" borderId="30" xfId="0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7" fontId="3" fillId="0" borderId="31" xfId="0" applyFont="1" applyBorder="1" applyAlignment="1" applyProtection="1">
      <alignment horizontal="center"/>
      <protection locked="0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0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7" fontId="3" fillId="2" borderId="23" xfId="0" applyFont="1" applyFill="1" applyBorder="1" applyAlignment="1" applyProtection="1">
      <alignment horizontal="center" vertical="top" wrapText="1"/>
      <protection locked="0"/>
    </xf>
    <xf numFmtId="167" fontId="3" fillId="2" borderId="0" xfId="0" applyFont="1" applyFill="1" applyBorder="1" applyAlignment="1" applyProtection="1">
      <alignment horizontal="center" vertical="top" wrapText="1"/>
      <protection locked="0"/>
    </xf>
    <xf numFmtId="167" fontId="3" fillId="2" borderId="16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"/>
  <sheetViews>
    <sheetView showGridLines="0" tabSelected="1" zoomScaleNormal="100" workbookViewId="0">
      <selection activeCell="C2" sqref="C2:E2"/>
    </sheetView>
  </sheetViews>
  <sheetFormatPr defaultRowHeight="15"/>
  <cols>
    <col min="1" max="1" width="5" customWidth="1"/>
    <col min="2" max="2" width="30.77734375" customWidth="1"/>
    <col min="3" max="3" width="10.77734375" customWidth="1"/>
    <col min="4" max="4" width="1.77734375" customWidth="1"/>
    <col min="5" max="5" width="4.77734375" customWidth="1"/>
    <col min="6" max="6" width="16.77734375" customWidth="1"/>
    <col min="7" max="7" width="14.33203125" customWidth="1"/>
    <col min="8" max="8" width="6.77734375" hidden="1" customWidth="1"/>
    <col min="9" max="9" width="8.33203125" hidden="1" customWidth="1"/>
    <col min="10" max="12" width="11.88671875" hidden="1" customWidth="1"/>
    <col min="13" max="13" width="5.5546875" hidden="1" customWidth="1"/>
    <col min="14" max="15" width="14.88671875" hidden="1" customWidth="1"/>
    <col min="16" max="16" width="10.6640625" hidden="1" customWidth="1"/>
    <col min="17" max="17" width="8.109375" hidden="1" customWidth="1"/>
    <col min="18" max="18" width="9" hidden="1" customWidth="1"/>
    <col min="19" max="19" width="5.77734375" hidden="1" customWidth="1"/>
    <col min="20" max="20" width="6.21875" hidden="1" customWidth="1"/>
    <col min="21" max="21" width="3" hidden="1" customWidth="1"/>
    <col min="22" max="22" width="5.33203125" hidden="1" customWidth="1"/>
    <col min="23" max="23" width="7.21875" hidden="1" customWidth="1"/>
    <col min="24" max="24" width="7.77734375" hidden="1" customWidth="1"/>
    <col min="25" max="25" width="5.21875" hidden="1" customWidth="1"/>
    <col min="26" max="26" width="10.5546875" hidden="1" customWidth="1"/>
    <col min="27" max="27" width="5.5546875" hidden="1" customWidth="1"/>
    <col min="28" max="28" width="16.109375" hidden="1" customWidth="1"/>
    <col min="29" max="29" width="10.77734375" bestFit="1" customWidth="1"/>
    <col min="31" max="31" width="10.109375" bestFit="1" customWidth="1"/>
  </cols>
  <sheetData>
    <row r="1" spans="1:32" ht="16.5" thickBot="1">
      <c r="A1" s="32"/>
      <c r="B1" s="33"/>
      <c r="C1" s="34" t="s">
        <v>178</v>
      </c>
      <c r="D1" s="35"/>
      <c r="E1" s="35"/>
      <c r="F1" s="35"/>
      <c r="G1" s="36"/>
      <c r="N1" s="100"/>
      <c r="O1" s="105" t="s">
        <v>159</v>
      </c>
      <c r="P1" s="91"/>
      <c r="Q1" s="1" t="s">
        <v>0</v>
      </c>
      <c r="W1" t="s">
        <v>128</v>
      </c>
      <c r="X1" s="14"/>
    </row>
    <row r="2" spans="1:32" ht="15.75">
      <c r="A2" s="37"/>
      <c r="B2" s="38" t="s">
        <v>115</v>
      </c>
      <c r="C2" s="134"/>
      <c r="D2" s="134"/>
      <c r="E2" s="134"/>
      <c r="F2" s="39"/>
      <c r="G2" s="40"/>
      <c r="N2" s="101" t="s">
        <v>1</v>
      </c>
      <c r="O2" s="101" t="s">
        <v>104</v>
      </c>
      <c r="P2" s="102" t="s">
        <v>2</v>
      </c>
      <c r="W2" t="s">
        <v>129</v>
      </c>
      <c r="X2" t="s">
        <v>130</v>
      </c>
      <c r="AB2" s="118"/>
      <c r="AC2" s="119"/>
      <c r="AD2" s="119"/>
      <c r="AE2" s="118"/>
    </row>
    <row r="3" spans="1:32">
      <c r="A3" s="37"/>
      <c r="B3" s="41" t="s">
        <v>116</v>
      </c>
      <c r="C3" s="135"/>
      <c r="D3" s="136"/>
      <c r="E3" s="136"/>
      <c r="F3" s="42"/>
      <c r="G3" s="43"/>
      <c r="N3" s="93">
        <v>0</v>
      </c>
      <c r="O3" s="93">
        <v>0</v>
      </c>
      <c r="P3" s="91">
        <v>0</v>
      </c>
      <c r="Q3" s="1" t="s">
        <v>3</v>
      </c>
      <c r="R3" s="1" t="s">
        <v>4</v>
      </c>
      <c r="W3" s="4" t="s">
        <v>131</v>
      </c>
      <c r="X3" s="26">
        <v>0.09</v>
      </c>
      <c r="AB3" s="118"/>
      <c r="AC3" s="119"/>
      <c r="AD3" s="119"/>
      <c r="AE3" s="118"/>
    </row>
    <row r="4" spans="1:32" s="4" customFormat="1" ht="15.75" thickBot="1">
      <c r="A4" s="44"/>
      <c r="B4" s="45"/>
      <c r="C4" s="46"/>
      <c r="D4" s="46"/>
      <c r="E4" s="46"/>
      <c r="F4" s="46"/>
      <c r="G4" s="47"/>
      <c r="I4" s="2" t="s">
        <v>6</v>
      </c>
      <c r="N4" s="93">
        <v>3950</v>
      </c>
      <c r="O4" s="93">
        <v>0</v>
      </c>
      <c r="P4" s="91">
        <v>0.1</v>
      </c>
      <c r="W4" s="4" t="s">
        <v>132</v>
      </c>
      <c r="X4" s="26">
        <v>7.0000000000000007E-2</v>
      </c>
      <c r="AB4" s="120"/>
      <c r="AC4" s="121"/>
      <c r="AD4" s="121"/>
      <c r="AE4" s="122"/>
    </row>
    <row r="5" spans="1:32" s="4" customFormat="1" ht="15.75" customHeight="1">
      <c r="A5" s="44"/>
      <c r="B5" s="48" t="s">
        <v>5</v>
      </c>
      <c r="C5" s="112">
        <v>0</v>
      </c>
      <c r="D5" s="49"/>
      <c r="E5" s="50"/>
      <c r="F5" s="51" t="s">
        <v>21</v>
      </c>
      <c r="G5" s="52">
        <f>(C11*C12)+((C13*1.5)*C11)</f>
        <v>0</v>
      </c>
      <c r="I5" s="3">
        <f>IF((C7=I4),2,0)</f>
        <v>0</v>
      </c>
      <c r="L5" s="2" t="s">
        <v>7</v>
      </c>
      <c r="N5" s="93">
        <v>13900</v>
      </c>
      <c r="O5" s="93">
        <v>995</v>
      </c>
      <c r="P5" s="91">
        <v>0.12</v>
      </c>
      <c r="Q5" s="2" t="s">
        <v>8</v>
      </c>
      <c r="R5" s="2" t="s">
        <v>9</v>
      </c>
      <c r="W5" s="4" t="s">
        <v>133</v>
      </c>
      <c r="X5" s="26">
        <v>0.05</v>
      </c>
      <c r="AB5" s="115"/>
      <c r="AC5" s="120"/>
      <c r="AD5" s="120"/>
      <c r="AE5" s="120"/>
      <c r="AF5" s="115"/>
    </row>
    <row r="6" spans="1:32" s="4" customFormat="1" ht="15.75" customHeight="1">
      <c r="A6" s="44"/>
      <c r="B6" s="53" t="s">
        <v>10</v>
      </c>
      <c r="C6" s="54"/>
      <c r="D6" s="55"/>
      <c r="E6" s="50"/>
      <c r="F6" s="51" t="s">
        <v>101</v>
      </c>
      <c r="G6" s="56">
        <f>G5-G13-G14-G16</f>
        <v>0</v>
      </c>
      <c r="H6" s="12"/>
      <c r="I6" s="2" t="s">
        <v>6</v>
      </c>
      <c r="L6" s="2" t="s">
        <v>7</v>
      </c>
      <c r="N6" s="93">
        <v>44475</v>
      </c>
      <c r="O6" s="93">
        <v>4664</v>
      </c>
      <c r="P6" s="91">
        <v>0.22</v>
      </c>
      <c r="R6" s="2" t="s">
        <v>11</v>
      </c>
      <c r="W6" s="4" t="s">
        <v>134</v>
      </c>
      <c r="X6" s="26">
        <v>0.01</v>
      </c>
      <c r="AB6" s="115"/>
      <c r="AC6" s="120"/>
      <c r="AD6" s="120"/>
      <c r="AE6" s="120"/>
      <c r="AF6" s="115"/>
    </row>
    <row r="7" spans="1:32" s="4" customFormat="1" ht="15.75" customHeight="1">
      <c r="A7" s="44"/>
      <c r="B7" s="57" t="s">
        <v>143</v>
      </c>
      <c r="C7" s="58" t="s">
        <v>160</v>
      </c>
      <c r="D7" s="59"/>
      <c r="E7" s="50"/>
      <c r="F7" s="51" t="s">
        <v>103</v>
      </c>
      <c r="G7" s="56">
        <f>G5-G16</f>
        <v>0</v>
      </c>
      <c r="I7" s="6">
        <f>IF((C9=I6),1,0)</f>
        <v>0</v>
      </c>
      <c r="L7" s="2" t="s">
        <v>7</v>
      </c>
      <c r="N7" s="93">
        <v>90325</v>
      </c>
      <c r="O7" s="93">
        <v>14751</v>
      </c>
      <c r="P7" s="91">
        <v>0.24</v>
      </c>
      <c r="R7" s="2" t="s">
        <v>12</v>
      </c>
      <c r="W7" s="4" t="s">
        <v>142</v>
      </c>
      <c r="X7" s="26">
        <v>0.1</v>
      </c>
      <c r="AB7" s="115"/>
      <c r="AC7" s="120"/>
      <c r="AD7" s="120"/>
      <c r="AE7" s="120"/>
      <c r="AF7" s="115"/>
    </row>
    <row r="8" spans="1:32" s="4" customFormat="1" ht="15.75" customHeight="1">
      <c r="A8" s="44"/>
      <c r="B8" s="53" t="s">
        <v>13</v>
      </c>
      <c r="C8" s="54"/>
      <c r="D8" s="59"/>
      <c r="E8" s="60"/>
      <c r="F8" s="61" t="s">
        <v>102</v>
      </c>
      <c r="G8" s="62">
        <f>G5</f>
        <v>0</v>
      </c>
      <c r="I8" s="3">
        <f>I7</f>
        <v>0</v>
      </c>
      <c r="J8" s="5">
        <f>CHOOSE($I$8+1,N3,N15)</f>
        <v>0</v>
      </c>
      <c r="K8" s="5">
        <f>CHOOSE($I$8+1,N3,N15)</f>
        <v>0</v>
      </c>
      <c r="L8" s="5">
        <f>CHOOSE($I$8+1,O3,O15,)</f>
        <v>0</v>
      </c>
      <c r="M8" s="4">
        <f>CHOOSE($I$8+1,P3,P15)</f>
        <v>0</v>
      </c>
      <c r="N8" s="93">
        <v>168875</v>
      </c>
      <c r="O8" s="93">
        <v>33603</v>
      </c>
      <c r="P8" s="91">
        <v>0.32</v>
      </c>
      <c r="W8" s="4" t="s">
        <v>135</v>
      </c>
      <c r="X8" s="26">
        <v>0.16</v>
      </c>
      <c r="AB8" s="115"/>
      <c r="AC8" s="120"/>
      <c r="AD8" s="120"/>
      <c r="AE8" s="120"/>
      <c r="AF8" s="115"/>
    </row>
    <row r="9" spans="1:32" s="4" customFormat="1" ht="15.75" customHeight="1">
      <c r="A9" s="44"/>
      <c r="B9" s="57" t="s">
        <v>144</v>
      </c>
      <c r="C9" s="58" t="s">
        <v>119</v>
      </c>
      <c r="D9" s="59"/>
      <c r="E9" s="51"/>
      <c r="F9" s="51" t="s">
        <v>16</v>
      </c>
      <c r="G9" s="56">
        <f>ROUND((((((I10-VLOOKUP(I10,J8:M17,2)))*VLOOKUP(I10,J8:M17,4))+VLOOKUP(I10,J8:M17,3))/I15)+C14,2)</f>
        <v>0</v>
      </c>
      <c r="I9" s="4">
        <f>O83/I15</f>
        <v>165.38</v>
      </c>
      <c r="J9" s="5">
        <f>CHOOSE($I$8+1,N4,N16)</f>
        <v>3950</v>
      </c>
      <c r="K9" s="5">
        <f t="shared" ref="K9:K17" si="0">CHOOSE($I$8+1,N4,N16)</f>
        <v>3950</v>
      </c>
      <c r="L9" s="5">
        <f t="shared" ref="L9:L17" si="1">CHOOSE($I$8+1,O4,O16,)</f>
        <v>0</v>
      </c>
      <c r="M9" s="4">
        <f t="shared" ref="M9:M17" si="2">CHOOSE($I$8+1,P4,P16)</f>
        <v>0.1</v>
      </c>
      <c r="N9" s="93">
        <v>213375</v>
      </c>
      <c r="O9" s="93">
        <v>47843</v>
      </c>
      <c r="P9" s="91">
        <v>0.35</v>
      </c>
      <c r="Q9" s="2" t="s">
        <v>14</v>
      </c>
      <c r="R9" s="2" t="s">
        <v>15</v>
      </c>
      <c r="W9" s="4" t="s">
        <v>119</v>
      </c>
      <c r="X9" s="26">
        <v>4.8000000000000001E-2</v>
      </c>
      <c r="AB9" s="115"/>
      <c r="AC9" s="120"/>
      <c r="AD9" s="120"/>
      <c r="AE9" s="120"/>
      <c r="AF9" s="115"/>
    </row>
    <row r="10" spans="1:32" s="4" customFormat="1" ht="15.75" customHeight="1">
      <c r="A10" s="44"/>
      <c r="B10" s="53" t="s">
        <v>21</v>
      </c>
      <c r="C10" s="54"/>
      <c r="D10" s="59"/>
      <c r="E10" s="50"/>
      <c r="F10" s="51" t="s">
        <v>27</v>
      </c>
      <c r="G10" s="56">
        <f>ROUND((((((I45-VLOOKUP(I45,J40:M48,2)))*VLOOKUP(I45,J40:M48,4))+VLOOKUP(I45,J40:M48,3))/I47)+C15,2)</f>
        <v>0</v>
      </c>
      <c r="I10" s="7">
        <f>IF(I14&lt;0,0,I16)</f>
        <v>0</v>
      </c>
      <c r="J10" s="5">
        <f t="shared" ref="J10:J17" si="3">CHOOSE($I$8+1,N5,N17)</f>
        <v>13900</v>
      </c>
      <c r="K10" s="5">
        <f t="shared" si="0"/>
        <v>13900</v>
      </c>
      <c r="L10" s="5">
        <f t="shared" si="1"/>
        <v>995</v>
      </c>
      <c r="M10" s="4">
        <f t="shared" si="2"/>
        <v>0.12</v>
      </c>
      <c r="N10" s="93">
        <v>527550</v>
      </c>
      <c r="O10" s="93">
        <v>157804.25</v>
      </c>
      <c r="P10" s="91">
        <v>0.37</v>
      </c>
      <c r="R10" s="2" t="s">
        <v>17</v>
      </c>
      <c r="W10" s="4" t="s">
        <v>125</v>
      </c>
      <c r="X10" s="26">
        <v>9.7799999999999998E-2</v>
      </c>
      <c r="AB10" s="115"/>
      <c r="AC10" s="120"/>
      <c r="AD10" s="120"/>
      <c r="AE10" s="120"/>
      <c r="AF10" s="115"/>
    </row>
    <row r="11" spans="1:32" s="4" customFormat="1" ht="15.75" customHeight="1">
      <c r="A11" s="44"/>
      <c r="B11" s="57" t="s">
        <v>126</v>
      </c>
      <c r="C11" s="111">
        <v>0</v>
      </c>
      <c r="D11" s="59"/>
      <c r="E11" s="50"/>
      <c r="F11" s="51" t="s">
        <v>117</v>
      </c>
      <c r="G11" s="56">
        <f>ROUND(G$7*6.2/100,2)</f>
        <v>0</v>
      </c>
      <c r="I11" s="2" t="s">
        <v>18</v>
      </c>
      <c r="J11" s="5">
        <f t="shared" si="3"/>
        <v>44475</v>
      </c>
      <c r="K11" s="5">
        <f t="shared" si="0"/>
        <v>44475</v>
      </c>
      <c r="L11" s="5">
        <f t="shared" si="1"/>
        <v>4664</v>
      </c>
      <c r="M11" s="4">
        <f t="shared" si="2"/>
        <v>0.22</v>
      </c>
      <c r="N11" s="93">
        <v>9999999999</v>
      </c>
      <c r="O11" s="93">
        <v>9999999999</v>
      </c>
      <c r="P11" s="91">
        <v>1</v>
      </c>
      <c r="R11" s="2" t="s">
        <v>20</v>
      </c>
      <c r="AB11" s="115"/>
      <c r="AC11" s="120"/>
      <c r="AD11" s="120"/>
      <c r="AE11" s="120"/>
      <c r="AF11" s="115"/>
    </row>
    <row r="12" spans="1:32" s="4" customFormat="1" ht="15.75" customHeight="1">
      <c r="A12" s="44"/>
      <c r="B12" s="57" t="s">
        <v>127</v>
      </c>
      <c r="C12" s="113">
        <v>1</v>
      </c>
      <c r="D12" s="59"/>
      <c r="E12" s="50"/>
      <c r="F12" s="87" t="s">
        <v>118</v>
      </c>
      <c r="G12" s="56">
        <f>ROUND(G$7*1.45/100,2)</f>
        <v>0</v>
      </c>
      <c r="I12" s="7">
        <f>IF(C17=I11,G13,0)</f>
        <v>0</v>
      </c>
      <c r="J12" s="5">
        <f t="shared" si="3"/>
        <v>90325</v>
      </c>
      <c r="K12" s="5">
        <f t="shared" si="0"/>
        <v>90325</v>
      </c>
      <c r="L12" s="5">
        <f t="shared" si="1"/>
        <v>14751</v>
      </c>
      <c r="M12" s="4">
        <f t="shared" si="2"/>
        <v>0.24</v>
      </c>
      <c r="N12" s="93">
        <v>9999999999</v>
      </c>
      <c r="O12" s="93">
        <v>9999999999</v>
      </c>
      <c r="P12" s="91">
        <v>1</v>
      </c>
      <c r="V12" s="27"/>
      <c r="Y12" s="27"/>
      <c r="AB12" s="115"/>
      <c r="AC12" s="120"/>
      <c r="AD12" s="120"/>
      <c r="AE12" s="120"/>
      <c r="AF12" s="115"/>
    </row>
    <row r="13" spans="1:32" s="4" customFormat="1" ht="15.75" customHeight="1">
      <c r="A13" s="44"/>
      <c r="B13" s="64" t="s">
        <v>139</v>
      </c>
      <c r="C13" s="114">
        <v>0</v>
      </c>
      <c r="D13" s="59"/>
      <c r="E13" s="63"/>
      <c r="F13" s="51" t="s">
        <v>22</v>
      </c>
      <c r="G13" s="56">
        <f>IF(C17="Y",ROUND(G5*C20,2),0)</f>
        <v>0</v>
      </c>
      <c r="J13" s="5">
        <f t="shared" si="3"/>
        <v>168875</v>
      </c>
      <c r="K13" s="5">
        <f t="shared" si="0"/>
        <v>168875</v>
      </c>
      <c r="L13" s="5">
        <f t="shared" si="1"/>
        <v>33603</v>
      </c>
      <c r="M13" s="4">
        <f t="shared" si="2"/>
        <v>0.32</v>
      </c>
      <c r="N13" s="94"/>
      <c r="O13" s="94"/>
      <c r="P13" s="94"/>
      <c r="Q13" s="2" t="s">
        <v>23</v>
      </c>
      <c r="R13" s="2" t="s">
        <v>24</v>
      </c>
      <c r="V13" s="27"/>
      <c r="W13" s="31" t="s">
        <v>138</v>
      </c>
      <c r="X13" s="28"/>
      <c r="Y13" s="27"/>
      <c r="AB13" s="115"/>
      <c r="AC13" s="120"/>
      <c r="AD13" s="120"/>
      <c r="AE13" s="120"/>
      <c r="AF13" s="115"/>
    </row>
    <row r="14" spans="1:32" s="4" customFormat="1" ht="15.75" customHeight="1">
      <c r="A14" s="44"/>
      <c r="B14" s="57" t="s">
        <v>120</v>
      </c>
      <c r="C14" s="65">
        <v>0</v>
      </c>
      <c r="D14" s="59"/>
      <c r="E14" s="60"/>
      <c r="F14" s="61" t="s">
        <v>31</v>
      </c>
      <c r="G14" s="62">
        <f>C21</f>
        <v>0</v>
      </c>
      <c r="I14" s="4">
        <f>G5-(I9*C5)-I12-G16-G14</f>
        <v>0</v>
      </c>
      <c r="J14" s="5">
        <f t="shared" si="3"/>
        <v>213375</v>
      </c>
      <c r="K14" s="5">
        <f t="shared" si="0"/>
        <v>213375</v>
      </c>
      <c r="L14" s="5">
        <f t="shared" si="1"/>
        <v>47843</v>
      </c>
      <c r="M14" s="4">
        <f t="shared" si="2"/>
        <v>0.35</v>
      </c>
      <c r="N14" s="103" t="s">
        <v>1</v>
      </c>
      <c r="O14" s="103" t="s">
        <v>104</v>
      </c>
      <c r="P14" s="102" t="s">
        <v>19</v>
      </c>
      <c r="Q14" s="2" t="s">
        <v>25</v>
      </c>
      <c r="R14" s="2" t="s">
        <v>26</v>
      </c>
      <c r="V14" s="27"/>
      <c r="W14" s="28" t="s">
        <v>129</v>
      </c>
      <c r="X14" s="28" t="s">
        <v>130</v>
      </c>
      <c r="Y14" s="27"/>
      <c r="AA14" s="4">
        <v>185</v>
      </c>
      <c r="AB14" s="115"/>
      <c r="AC14" s="120"/>
      <c r="AD14" s="120"/>
      <c r="AE14" s="120"/>
      <c r="AF14" s="115"/>
    </row>
    <row r="15" spans="1:32" s="4" customFormat="1" ht="15.75" customHeight="1">
      <c r="A15" s="44"/>
      <c r="B15" s="57" t="s">
        <v>121</v>
      </c>
      <c r="C15" s="123">
        <v>0</v>
      </c>
      <c r="D15" s="59"/>
      <c r="E15" s="50"/>
      <c r="F15" s="51" t="s">
        <v>157</v>
      </c>
      <c r="G15" s="56">
        <f>SUM(C33:C40)</f>
        <v>0</v>
      </c>
      <c r="I15" s="9">
        <f>IF(C$7="b",26,IF(C$7="M",12,1))</f>
        <v>26</v>
      </c>
      <c r="J15" s="5">
        <f t="shared" si="3"/>
        <v>527550</v>
      </c>
      <c r="K15" s="5">
        <f t="shared" si="0"/>
        <v>527550</v>
      </c>
      <c r="L15" s="5">
        <f t="shared" si="1"/>
        <v>157804.25</v>
      </c>
      <c r="M15" s="4">
        <f t="shared" si="2"/>
        <v>0.37</v>
      </c>
      <c r="N15" s="93">
        <v>0</v>
      </c>
      <c r="O15" s="93">
        <v>0</v>
      </c>
      <c r="P15" s="91">
        <v>0</v>
      </c>
      <c r="Q15" s="2" t="s">
        <v>28</v>
      </c>
      <c r="R15" s="2" t="s">
        <v>29</v>
      </c>
      <c r="V15" s="27"/>
      <c r="W15" s="29" t="s">
        <v>131</v>
      </c>
      <c r="X15" s="30">
        <v>0</v>
      </c>
      <c r="Y15" s="27"/>
      <c r="AA15" s="4">
        <v>90</v>
      </c>
      <c r="AB15" s="115"/>
      <c r="AC15" s="120"/>
      <c r="AD15" s="120"/>
      <c r="AE15" s="120"/>
      <c r="AF15" s="115"/>
    </row>
    <row r="16" spans="1:32" s="4" customFormat="1" ht="15.75" customHeight="1" thickBot="1">
      <c r="A16" s="44"/>
      <c r="B16" s="53" t="s">
        <v>22</v>
      </c>
      <c r="C16" s="54"/>
      <c r="D16" s="59"/>
      <c r="E16" s="50"/>
      <c r="F16" s="51" t="s">
        <v>158</v>
      </c>
      <c r="G16" s="56">
        <f>SUM(C24:C31)</f>
        <v>0</v>
      </c>
      <c r="I16" s="4">
        <f>I14*I15</f>
        <v>0</v>
      </c>
      <c r="J16" s="5">
        <f t="shared" si="3"/>
        <v>9999999999</v>
      </c>
      <c r="K16" s="5">
        <f t="shared" si="0"/>
        <v>9999999999</v>
      </c>
      <c r="L16" s="5">
        <f t="shared" si="1"/>
        <v>9999999999</v>
      </c>
      <c r="M16" s="4">
        <f t="shared" si="2"/>
        <v>1</v>
      </c>
      <c r="N16" s="93">
        <v>12200</v>
      </c>
      <c r="O16" s="93">
        <v>0</v>
      </c>
      <c r="P16" s="91">
        <v>0.1</v>
      </c>
      <c r="R16" s="2" t="s">
        <v>30</v>
      </c>
      <c r="V16" s="27"/>
      <c r="W16" s="29" t="s">
        <v>132</v>
      </c>
      <c r="X16" s="30">
        <v>0</v>
      </c>
      <c r="Y16" s="27"/>
      <c r="AB16" s="115"/>
      <c r="AC16" s="120"/>
      <c r="AD16" s="120"/>
      <c r="AE16" s="120"/>
      <c r="AF16" s="115"/>
    </row>
    <row r="17" spans="1:32" s="4" customFormat="1" ht="15.75" customHeight="1" thickBot="1">
      <c r="A17" s="44"/>
      <c r="B17" s="57" t="s">
        <v>141</v>
      </c>
      <c r="C17" s="58" t="s">
        <v>161</v>
      </c>
      <c r="D17" s="59"/>
      <c r="E17" s="66"/>
      <c r="F17" s="67" t="s">
        <v>114</v>
      </c>
      <c r="G17" s="110">
        <f>G5-SUM(G9:G16)</f>
        <v>0</v>
      </c>
      <c r="J17" s="5">
        <f t="shared" si="3"/>
        <v>9999999999</v>
      </c>
      <c r="K17" s="5">
        <f t="shared" si="0"/>
        <v>9999999999</v>
      </c>
      <c r="L17" s="5">
        <f t="shared" si="1"/>
        <v>9999999999</v>
      </c>
      <c r="M17" s="4">
        <f t="shared" si="2"/>
        <v>1</v>
      </c>
      <c r="N17" s="93">
        <v>32100</v>
      </c>
      <c r="O17" s="93">
        <v>1990</v>
      </c>
      <c r="P17" s="91">
        <v>0.12</v>
      </c>
      <c r="V17" s="27"/>
      <c r="W17" s="29" t="s">
        <v>133</v>
      </c>
      <c r="X17" s="30">
        <v>0</v>
      </c>
      <c r="Y17" s="27"/>
      <c r="AB17" s="116"/>
      <c r="AC17" s="120"/>
      <c r="AD17" s="120"/>
      <c r="AE17" s="120"/>
      <c r="AF17" s="116"/>
    </row>
    <row r="18" spans="1:32" s="4" customFormat="1" ht="15.75" customHeight="1" thickBot="1">
      <c r="A18" s="44"/>
      <c r="B18" s="86" t="s">
        <v>136</v>
      </c>
      <c r="C18" s="58" t="s">
        <v>124</v>
      </c>
      <c r="D18" s="59"/>
      <c r="E18" s="50"/>
      <c r="F18" s="50"/>
      <c r="G18" s="68"/>
      <c r="H18" s="15"/>
      <c r="I18" s="15"/>
      <c r="J18" s="132" t="s">
        <v>108</v>
      </c>
      <c r="K18" s="133"/>
      <c r="L18" s="16"/>
      <c r="N18" s="93">
        <v>93250</v>
      </c>
      <c r="O18" s="93">
        <v>9328</v>
      </c>
      <c r="P18" s="91">
        <v>0.22</v>
      </c>
      <c r="Q18" s="2" t="s">
        <v>32</v>
      </c>
      <c r="R18" s="2" t="s">
        <v>33</v>
      </c>
      <c r="V18" s="27"/>
      <c r="W18" s="29" t="s">
        <v>134</v>
      </c>
      <c r="X18" s="30">
        <v>0</v>
      </c>
      <c r="Y18" s="27"/>
      <c r="AB18" s="120"/>
      <c r="AC18" s="120"/>
      <c r="AD18" s="120"/>
      <c r="AE18" s="120"/>
    </row>
    <row r="19" spans="1:32" s="4" customFormat="1" ht="15.75" customHeight="1" thickBot="1">
      <c r="A19" s="44"/>
      <c r="B19" s="57" t="s">
        <v>145</v>
      </c>
      <c r="C19" s="58" t="s">
        <v>119</v>
      </c>
      <c r="D19" s="59"/>
      <c r="E19" s="66"/>
      <c r="F19" s="67" t="s">
        <v>47</v>
      </c>
      <c r="G19" s="69"/>
      <c r="H19" s="11"/>
      <c r="I19" s="11"/>
      <c r="J19" s="17" t="s">
        <v>109</v>
      </c>
      <c r="K19" s="18">
        <v>435</v>
      </c>
      <c r="L19" s="19" t="s">
        <v>110</v>
      </c>
      <c r="N19" s="93">
        <v>184950</v>
      </c>
      <c r="O19" s="93">
        <v>29502</v>
      </c>
      <c r="P19" s="91">
        <v>0.24</v>
      </c>
      <c r="Q19" s="2" t="s">
        <v>25</v>
      </c>
      <c r="R19" s="2" t="s">
        <v>34</v>
      </c>
      <c r="V19" s="27"/>
      <c r="W19" s="29" t="s">
        <v>142</v>
      </c>
      <c r="X19" s="30">
        <v>0</v>
      </c>
      <c r="Y19" s="27"/>
      <c r="AB19" s="116"/>
      <c r="AC19" s="120"/>
      <c r="AD19" s="120"/>
      <c r="AE19" s="120"/>
    </row>
    <row r="20" spans="1:32" s="4" customFormat="1" ht="15.75" customHeight="1">
      <c r="A20" s="44"/>
      <c r="B20" s="57" t="s">
        <v>140</v>
      </c>
      <c r="C20" s="129">
        <f>IF(C19="S",4.8%,IF(C19="J1",9%,IF(C19="J2",7%,IF(C19="J3",5%,IF(C19="J4",1%,IF(C19="J5",10%,IF(C19="P",16%,IF(C19="T",9.78%,"ERROR"))))))))</f>
        <v>4.8000000000000001E-2</v>
      </c>
      <c r="D20" s="59"/>
      <c r="E20" s="70"/>
      <c r="F20" s="71" t="s">
        <v>117</v>
      </c>
      <c r="G20" s="72">
        <f>ROUND(G$7*6.2/100,2)</f>
        <v>0</v>
      </c>
      <c r="H20" s="11"/>
      <c r="I20" s="11"/>
      <c r="J20" s="17" t="s">
        <v>111</v>
      </c>
      <c r="K20" s="18">
        <v>942.5</v>
      </c>
      <c r="L20" s="19" t="s">
        <v>110</v>
      </c>
      <c r="N20" s="93">
        <v>342050</v>
      </c>
      <c r="O20" s="93">
        <v>67206</v>
      </c>
      <c r="P20" s="91">
        <v>0.32</v>
      </c>
      <c r="Q20" s="2" t="s">
        <v>35</v>
      </c>
      <c r="V20" s="27"/>
      <c r="W20" s="29" t="s">
        <v>135</v>
      </c>
      <c r="X20" s="30">
        <v>1</v>
      </c>
      <c r="Y20" s="27"/>
      <c r="AB20" s="115"/>
      <c r="AC20" s="120"/>
      <c r="AD20" s="120"/>
      <c r="AE20" s="120"/>
    </row>
    <row r="21" spans="1:32" s="4" customFormat="1" ht="15.75" customHeight="1">
      <c r="A21" s="44"/>
      <c r="B21" s="57" t="s">
        <v>122</v>
      </c>
      <c r="C21" s="65">
        <v>0</v>
      </c>
      <c r="D21" s="59"/>
      <c r="E21" s="70"/>
      <c r="F21" s="88" t="s">
        <v>118</v>
      </c>
      <c r="G21" s="72">
        <f>ROUND(G$7*1.45/100,2)</f>
        <v>0</v>
      </c>
      <c r="H21" s="11"/>
      <c r="I21" s="11"/>
      <c r="J21" s="13"/>
      <c r="K21" s="13"/>
      <c r="L21" s="19"/>
      <c r="N21" s="93">
        <v>431050</v>
      </c>
      <c r="O21" s="93">
        <v>95686</v>
      </c>
      <c r="P21" s="91">
        <v>0.35</v>
      </c>
      <c r="Q21" s="2" t="s">
        <v>36</v>
      </c>
      <c r="R21" s="2" t="s">
        <v>37</v>
      </c>
      <c r="W21" s="29" t="s">
        <v>119</v>
      </c>
      <c r="X21" s="30">
        <v>1.56</v>
      </c>
      <c r="AB21" s="115"/>
      <c r="AC21" s="120"/>
      <c r="AD21" s="120"/>
      <c r="AE21" s="120"/>
    </row>
    <row r="22" spans="1:32" s="4" customFormat="1" ht="15.75" customHeight="1">
      <c r="A22" s="44"/>
      <c r="B22" s="73" t="s">
        <v>38</v>
      </c>
      <c r="C22" s="54"/>
      <c r="D22" s="59"/>
      <c r="E22" s="74"/>
      <c r="F22" s="89" t="s">
        <v>137</v>
      </c>
      <c r="G22" s="75">
        <f>+(G13*VLOOKUP(C19,W15:X22,2,0))</f>
        <v>0</v>
      </c>
      <c r="H22" s="11"/>
      <c r="I22" s="11"/>
      <c r="J22" s="130" t="s">
        <v>112</v>
      </c>
      <c r="K22" s="131"/>
      <c r="L22" s="19"/>
      <c r="N22" s="93">
        <v>640500</v>
      </c>
      <c r="O22" s="93">
        <v>168993.5</v>
      </c>
      <c r="P22" s="91">
        <v>0.37</v>
      </c>
      <c r="R22" s="2" t="s">
        <v>39</v>
      </c>
      <c r="W22" s="29" t="s">
        <v>125</v>
      </c>
      <c r="X22" s="30">
        <v>1.01</v>
      </c>
      <c r="AB22" s="117"/>
      <c r="AC22" s="120"/>
      <c r="AD22" s="120"/>
      <c r="AE22" s="120"/>
    </row>
    <row r="23" spans="1:32" s="4" customFormat="1" ht="15.75" customHeight="1">
      <c r="A23" s="44"/>
      <c r="B23" s="73" t="s">
        <v>155</v>
      </c>
      <c r="C23" s="54"/>
      <c r="D23" s="59"/>
      <c r="E23" s="76"/>
      <c r="F23" s="77"/>
      <c r="G23" s="78"/>
      <c r="H23" s="24">
        <v>788.97</v>
      </c>
      <c r="I23" s="13"/>
      <c r="J23" s="17" t="s">
        <v>109</v>
      </c>
      <c r="K23" s="18">
        <v>580</v>
      </c>
      <c r="L23" s="19" t="s">
        <v>110</v>
      </c>
      <c r="N23" s="93">
        <v>9999999999</v>
      </c>
      <c r="O23" s="93">
        <v>9999999999</v>
      </c>
      <c r="P23" s="91">
        <v>1</v>
      </c>
      <c r="W23" s="29"/>
      <c r="X23" s="29"/>
      <c r="Y23" s="29"/>
    </row>
    <row r="24" spans="1:32" s="4" customFormat="1" ht="15.75" customHeight="1">
      <c r="A24" s="44"/>
      <c r="B24" s="57" t="s">
        <v>147</v>
      </c>
      <c r="C24" s="107">
        <v>0</v>
      </c>
      <c r="D24" s="59"/>
      <c r="E24" s="79"/>
      <c r="F24" s="90" t="s">
        <v>154</v>
      </c>
      <c r="G24" s="80"/>
      <c r="H24" s="25"/>
      <c r="I24" s="13"/>
      <c r="J24" s="17" t="s">
        <v>111</v>
      </c>
      <c r="K24" s="18">
        <v>1256.6600000000001</v>
      </c>
      <c r="L24" s="19" t="s">
        <v>110</v>
      </c>
      <c r="N24" s="93">
        <v>9999999999</v>
      </c>
      <c r="O24" s="93">
        <v>9999999999</v>
      </c>
      <c r="P24" s="91">
        <v>1</v>
      </c>
      <c r="Q24" s="2" t="s">
        <v>40</v>
      </c>
      <c r="R24" s="2" t="s">
        <v>41</v>
      </c>
    </row>
    <row r="25" spans="1:32" s="4" customFormat="1" ht="15.75" customHeight="1">
      <c r="A25" s="44"/>
      <c r="B25" s="57" t="s">
        <v>148</v>
      </c>
      <c r="C25" s="107">
        <v>0</v>
      </c>
      <c r="D25" s="59"/>
      <c r="E25" s="137"/>
      <c r="F25" s="138"/>
      <c r="G25" s="139"/>
      <c r="H25" s="25">
        <f>IF(G24-K19&lt;=0,0,G24)</f>
        <v>0</v>
      </c>
      <c r="I25" s="13"/>
      <c r="J25" s="11"/>
      <c r="K25" s="11"/>
      <c r="L25" s="19"/>
      <c r="N25" s="93"/>
      <c r="O25" s="93"/>
      <c r="P25" s="91"/>
      <c r="R25" s="2" t="s">
        <v>42</v>
      </c>
      <c r="W25" s="29"/>
      <c r="X25" s="29"/>
    </row>
    <row r="26" spans="1:32" s="4" customFormat="1" ht="15.75" customHeight="1">
      <c r="A26" s="44"/>
      <c r="B26" s="57" t="s">
        <v>149</v>
      </c>
      <c r="C26" s="107">
        <v>0</v>
      </c>
      <c r="D26" s="59"/>
      <c r="E26" s="137"/>
      <c r="F26" s="138"/>
      <c r="G26" s="139"/>
      <c r="H26" s="25">
        <f>IF(G24-K23&gt;=0,0.25*G24,H25-K19)</f>
        <v>-435</v>
      </c>
      <c r="I26" s="13">
        <f>IF(H25&lt;ABS(H26),H25,H26)</f>
        <v>0</v>
      </c>
      <c r="J26" s="11"/>
      <c r="K26" s="11"/>
      <c r="L26" s="19"/>
      <c r="N26" s="103"/>
      <c r="O26" s="103"/>
      <c r="P26" s="102"/>
      <c r="R26" s="2" t="s">
        <v>43</v>
      </c>
    </row>
    <row r="27" spans="1:32" s="4" customFormat="1" ht="15.75" customHeight="1">
      <c r="A27" s="44"/>
      <c r="B27" s="57" t="s">
        <v>151</v>
      </c>
      <c r="C27" s="107">
        <v>0</v>
      </c>
      <c r="D27" s="59"/>
      <c r="E27" s="137"/>
      <c r="F27" s="138"/>
      <c r="G27" s="139"/>
      <c r="H27" s="13">
        <f>IF(G24-K23&gt;=0,0.15*G24,H25-K19)</f>
        <v>-435</v>
      </c>
      <c r="I27" s="13"/>
      <c r="J27" s="11"/>
      <c r="K27" s="11"/>
      <c r="L27" s="19"/>
      <c r="N27" s="93"/>
      <c r="O27" s="93"/>
      <c r="P27" s="91"/>
    </row>
    <row r="28" spans="1:32" s="4" customFormat="1" ht="15.75" customHeight="1">
      <c r="A28" s="44"/>
      <c r="B28" s="57" t="s">
        <v>153</v>
      </c>
      <c r="C28" s="107">
        <v>0</v>
      </c>
      <c r="D28" s="59"/>
      <c r="E28" s="137"/>
      <c r="F28" s="138"/>
      <c r="G28" s="139"/>
      <c r="H28" s="13">
        <f>IF(G24-K23&gt;=0,H25-K19,0.15*G24)</f>
        <v>0</v>
      </c>
      <c r="I28" s="20">
        <f>MIN(H25,H28,ABS(H27))</f>
        <v>0</v>
      </c>
      <c r="J28" s="11"/>
      <c r="K28" s="11"/>
      <c r="L28" s="19"/>
      <c r="N28" s="93"/>
      <c r="O28" s="93"/>
      <c r="P28" s="91"/>
      <c r="Q28" s="2" t="s">
        <v>44</v>
      </c>
      <c r="R28" s="2" t="s">
        <v>45</v>
      </c>
    </row>
    <row r="29" spans="1:32" s="4" customFormat="1" ht="15.75" customHeight="1">
      <c r="A29" s="44"/>
      <c r="B29" s="57" t="s">
        <v>152</v>
      </c>
      <c r="C29" s="107">
        <v>0</v>
      </c>
      <c r="D29" s="59"/>
      <c r="E29" s="137"/>
      <c r="F29" s="138"/>
      <c r="G29" s="139"/>
      <c r="H29" s="25"/>
      <c r="I29" s="13"/>
      <c r="J29" s="11"/>
      <c r="K29" s="11"/>
      <c r="L29" s="19"/>
      <c r="N29" s="93"/>
      <c r="O29" s="93"/>
      <c r="P29" s="91"/>
      <c r="R29" s="2" t="s">
        <v>46</v>
      </c>
    </row>
    <row r="30" spans="1:32" s="4" customFormat="1" ht="15.75" customHeight="1">
      <c r="A30" s="44"/>
      <c r="B30" s="57" t="s">
        <v>150</v>
      </c>
      <c r="C30" s="107">
        <v>0</v>
      </c>
      <c r="D30" s="59"/>
      <c r="E30" s="137"/>
      <c r="F30" s="138"/>
      <c r="G30" s="139"/>
      <c r="H30" s="25">
        <f>IF(G24-K20&lt;=0,0,G24)</f>
        <v>0</v>
      </c>
      <c r="I30" s="13"/>
      <c r="J30" s="11"/>
      <c r="K30" s="11"/>
      <c r="L30" s="19"/>
      <c r="N30" s="93"/>
      <c r="O30" s="93"/>
      <c r="P30" s="91"/>
    </row>
    <row r="31" spans="1:32" s="4" customFormat="1" ht="15.75" customHeight="1">
      <c r="A31" s="44"/>
      <c r="B31" s="57" t="s">
        <v>146</v>
      </c>
      <c r="C31" s="108">
        <v>0</v>
      </c>
      <c r="D31" s="59"/>
      <c r="E31" s="137"/>
      <c r="F31" s="138"/>
      <c r="G31" s="139"/>
      <c r="H31" s="25">
        <f>IF(G24-K24&gt;=0,0.25*G24,H30-K20)</f>
        <v>-942.5</v>
      </c>
      <c r="I31" s="13">
        <f>IF(H30&lt;ABS(H31),H30,H31)</f>
        <v>0</v>
      </c>
      <c r="J31" s="13"/>
      <c r="K31" s="13"/>
      <c r="L31" s="19"/>
      <c r="N31" s="93"/>
      <c r="O31" s="93"/>
      <c r="P31" s="91"/>
      <c r="Q31" s="2" t="s">
        <v>48</v>
      </c>
      <c r="R31" s="2" t="s">
        <v>49</v>
      </c>
    </row>
    <row r="32" spans="1:32" s="4" customFormat="1" ht="15.75" customHeight="1">
      <c r="A32" s="44"/>
      <c r="B32" s="73" t="s">
        <v>156</v>
      </c>
      <c r="C32" s="81"/>
      <c r="D32" s="59"/>
      <c r="E32" s="137"/>
      <c r="F32" s="138"/>
      <c r="G32" s="139"/>
      <c r="H32" s="13">
        <f>IF(G24-K24&gt;=0,0.15*G24,H30-K20)</f>
        <v>-942.5</v>
      </c>
      <c r="I32" s="13"/>
      <c r="J32" s="13"/>
      <c r="K32" s="13"/>
      <c r="L32" s="19"/>
      <c r="N32" s="93"/>
      <c r="O32" s="93"/>
      <c r="P32" s="91"/>
      <c r="R32" s="2" t="s">
        <v>50</v>
      </c>
    </row>
    <row r="33" spans="1:23" s="4" customFormat="1" ht="15.75" customHeight="1" thickBot="1">
      <c r="A33" s="44"/>
      <c r="B33" s="82" t="s">
        <v>113</v>
      </c>
      <c r="C33" s="109">
        <v>0</v>
      </c>
      <c r="D33" s="59"/>
      <c r="E33" s="137"/>
      <c r="F33" s="138"/>
      <c r="G33" s="139"/>
      <c r="H33" s="22">
        <f>IF(G24-K24&gt;=0,H30-K20,0.15*G24)</f>
        <v>0</v>
      </c>
      <c r="I33" s="21">
        <f>MIN(ABS(H32),H33,H30)</f>
        <v>0</v>
      </c>
      <c r="J33" s="22"/>
      <c r="K33" s="22"/>
      <c r="L33" s="23"/>
      <c r="N33" s="93"/>
      <c r="O33" s="93"/>
      <c r="P33" s="91"/>
    </row>
    <row r="34" spans="1:23" s="4" customFormat="1" ht="15.75" customHeight="1">
      <c r="A34" s="44"/>
      <c r="B34" s="83" t="s">
        <v>54</v>
      </c>
      <c r="C34" s="107">
        <v>0</v>
      </c>
      <c r="D34" s="59"/>
      <c r="E34" s="137"/>
      <c r="F34" s="138"/>
      <c r="G34" s="139"/>
      <c r="N34" s="93"/>
      <c r="O34" s="93"/>
      <c r="P34" s="91"/>
      <c r="Q34" s="2" t="s">
        <v>51</v>
      </c>
      <c r="R34" s="2" t="s">
        <v>52</v>
      </c>
    </row>
    <row r="35" spans="1:23" s="4" customFormat="1" ht="15.75" customHeight="1">
      <c r="A35" s="44"/>
      <c r="B35" s="83" t="s">
        <v>54</v>
      </c>
      <c r="C35" s="107">
        <v>0</v>
      </c>
      <c r="D35" s="59"/>
      <c r="E35" s="137"/>
      <c r="F35" s="138"/>
      <c r="G35" s="139"/>
      <c r="N35" s="93"/>
      <c r="O35" s="93"/>
      <c r="P35" s="91"/>
      <c r="R35" s="2" t="s">
        <v>53</v>
      </c>
    </row>
    <row r="36" spans="1:23" s="4" customFormat="1" ht="15.75" customHeight="1">
      <c r="A36" s="44"/>
      <c r="B36" s="83" t="s">
        <v>54</v>
      </c>
      <c r="C36" s="107">
        <v>0</v>
      </c>
      <c r="D36" s="59"/>
      <c r="E36" s="137"/>
      <c r="F36" s="138"/>
      <c r="G36" s="139"/>
      <c r="N36" s="93"/>
      <c r="O36" s="93"/>
      <c r="P36" s="91"/>
      <c r="R36" s="2" t="s">
        <v>55</v>
      </c>
    </row>
    <row r="37" spans="1:23" s="4" customFormat="1" ht="15.75" customHeight="1">
      <c r="A37" s="44"/>
      <c r="B37" s="83" t="s">
        <v>54</v>
      </c>
      <c r="C37" s="107">
        <v>0</v>
      </c>
      <c r="D37" s="59"/>
      <c r="E37" s="137"/>
      <c r="F37" s="138"/>
      <c r="G37" s="139"/>
      <c r="N37" s="96"/>
      <c r="O37" s="96"/>
      <c r="P37" s="97"/>
      <c r="W37" s="4" t="s">
        <v>123</v>
      </c>
    </row>
    <row r="38" spans="1:23" s="4" customFormat="1" ht="15.75" customHeight="1">
      <c r="A38" s="44"/>
      <c r="B38" s="83" t="s">
        <v>54</v>
      </c>
      <c r="C38" s="107">
        <v>0</v>
      </c>
      <c r="D38" s="59"/>
      <c r="E38" s="137"/>
      <c r="F38" s="138"/>
      <c r="G38" s="139"/>
      <c r="N38" s="96"/>
      <c r="O38" s="96"/>
      <c r="P38" s="97"/>
      <c r="Q38" s="2" t="s">
        <v>56</v>
      </c>
      <c r="R38" s="2" t="s">
        <v>57</v>
      </c>
    </row>
    <row r="39" spans="1:23" s="4" customFormat="1" ht="15.75" customHeight="1">
      <c r="A39" s="44"/>
      <c r="B39" s="83" t="s">
        <v>54</v>
      </c>
      <c r="C39" s="107">
        <v>0</v>
      </c>
      <c r="D39" s="59"/>
      <c r="E39" s="137"/>
      <c r="F39" s="138"/>
      <c r="G39" s="139"/>
      <c r="I39" s="2" t="s">
        <v>6</v>
      </c>
      <c r="N39" s="103" t="s">
        <v>58</v>
      </c>
      <c r="O39" s="103" t="s">
        <v>104</v>
      </c>
      <c r="P39" s="102" t="s">
        <v>2</v>
      </c>
    </row>
    <row r="40" spans="1:23" s="4" customFormat="1" ht="15.75" customHeight="1">
      <c r="A40" s="44"/>
      <c r="B40" s="83" t="s">
        <v>54</v>
      </c>
      <c r="C40" s="107">
        <v>0</v>
      </c>
      <c r="D40" s="84"/>
      <c r="E40" s="85"/>
      <c r="F40" s="85"/>
      <c r="G40" s="106" t="s">
        <v>179</v>
      </c>
      <c r="I40" s="4">
        <f>IF((C7=I39),2,0)</f>
        <v>0</v>
      </c>
      <c r="J40" s="4">
        <f t="shared" ref="J40:J48" si="4">CHOOSE($I$43+1,N40,N50,N60,N70)</f>
        <v>0</v>
      </c>
      <c r="K40" s="4">
        <f t="shared" ref="K40:M48" si="5">CHOOSE($I$43+1,N40,N50,N60,N70)</f>
        <v>0</v>
      </c>
      <c r="L40" s="4">
        <f t="shared" si="5"/>
        <v>0</v>
      </c>
      <c r="M40" s="10">
        <f t="shared" si="5"/>
        <v>0</v>
      </c>
      <c r="N40" s="93">
        <v>0</v>
      </c>
      <c r="O40" s="93">
        <v>0</v>
      </c>
      <c r="P40" s="91">
        <v>0</v>
      </c>
      <c r="Q40" s="2" t="s">
        <v>59</v>
      </c>
      <c r="R40" s="2" t="s">
        <v>60</v>
      </c>
    </row>
    <row r="41" spans="1:23" s="4" customFormat="1" ht="15.75" customHeight="1">
      <c r="D41" s="2"/>
      <c r="I41" s="2" t="s">
        <v>6</v>
      </c>
      <c r="J41" s="4">
        <f>CHOOSE($I$43+1,N41,N51,N61,N71)</f>
        <v>2975</v>
      </c>
      <c r="K41" s="4">
        <f>CHOOSE($I$43+1,N41,N51,N61,N71)</f>
        <v>2975</v>
      </c>
      <c r="L41" s="4">
        <f>CHOOSE($I$43+1,O41,O51,O61,O71)</f>
        <v>0</v>
      </c>
      <c r="M41" s="10">
        <f>CHOOSE($I$43+1,P41,P51,P61,P71)</f>
        <v>2.2599999999999999E-2</v>
      </c>
      <c r="N41" s="93">
        <v>2975</v>
      </c>
      <c r="O41" s="93">
        <v>0</v>
      </c>
      <c r="P41" s="98">
        <v>2.2599999999999999E-2</v>
      </c>
    </row>
    <row r="42" spans="1:23" s="4" customFormat="1" ht="15.75" customHeight="1">
      <c r="D42" s="2"/>
      <c r="I42" s="4">
        <f>IF((C9=I41),1,0)</f>
        <v>0</v>
      </c>
      <c r="J42" s="4">
        <f t="shared" si="4"/>
        <v>5480</v>
      </c>
      <c r="K42" s="4">
        <f t="shared" si="5"/>
        <v>5480</v>
      </c>
      <c r="L42" s="4">
        <f t="shared" si="5"/>
        <v>56.61</v>
      </c>
      <c r="M42" s="10">
        <f t="shared" si="5"/>
        <v>3.2199999999999999E-2</v>
      </c>
      <c r="N42" s="93">
        <v>5480</v>
      </c>
      <c r="O42" s="93">
        <v>56.61</v>
      </c>
      <c r="P42" s="98">
        <v>3.2199999999999999E-2</v>
      </c>
      <c r="Q42" s="2" t="s">
        <v>61</v>
      </c>
      <c r="R42" s="2" t="s">
        <v>107</v>
      </c>
    </row>
    <row r="43" spans="1:23" s="4" customFormat="1" ht="15.75" customHeight="1">
      <c r="D43" s="2"/>
      <c r="I43" s="4">
        <f>I42</f>
        <v>0</v>
      </c>
      <c r="J43" s="4">
        <f t="shared" si="4"/>
        <v>17790</v>
      </c>
      <c r="K43" s="4">
        <f t="shared" si="5"/>
        <v>17790</v>
      </c>
      <c r="L43" s="4">
        <f t="shared" si="5"/>
        <v>452.99</v>
      </c>
      <c r="M43" s="10">
        <f t="shared" si="5"/>
        <v>4.9099999999999998E-2</v>
      </c>
      <c r="N43" s="93">
        <v>17790</v>
      </c>
      <c r="O43" s="93">
        <v>452.99</v>
      </c>
      <c r="P43" s="98">
        <v>4.9099999999999998E-2</v>
      </c>
      <c r="R43" s="2" t="s">
        <v>62</v>
      </c>
    </row>
    <row r="44" spans="1:23" s="4" customFormat="1" ht="15.75" customHeight="1">
      <c r="D44" s="2"/>
      <c r="I44" s="4">
        <f>O86/I47</f>
        <v>75.38</v>
      </c>
      <c r="J44" s="4">
        <f t="shared" si="4"/>
        <v>25780</v>
      </c>
      <c r="K44" s="4">
        <f t="shared" si="5"/>
        <v>25780</v>
      </c>
      <c r="L44" s="4">
        <f t="shared" si="5"/>
        <v>845.3</v>
      </c>
      <c r="M44" s="10">
        <f t="shared" si="5"/>
        <v>6.2E-2</v>
      </c>
      <c r="N44" s="93">
        <v>25780</v>
      </c>
      <c r="O44" s="93">
        <v>845.3</v>
      </c>
      <c r="P44" s="98">
        <v>6.2E-2</v>
      </c>
    </row>
    <row r="45" spans="1:23" s="4" customFormat="1" ht="15.75" customHeight="1">
      <c r="I45" s="8">
        <f>IF(I46&lt;0,0,I48)</f>
        <v>0</v>
      </c>
      <c r="J45" s="4">
        <f t="shared" si="4"/>
        <v>32730</v>
      </c>
      <c r="K45" s="4">
        <f t="shared" si="5"/>
        <v>32730</v>
      </c>
      <c r="L45" s="4">
        <f t="shared" si="5"/>
        <v>1276.2</v>
      </c>
      <c r="M45" s="10">
        <f t="shared" si="5"/>
        <v>6.59E-2</v>
      </c>
      <c r="N45" s="93">
        <v>32730</v>
      </c>
      <c r="O45" s="93">
        <v>1276.2</v>
      </c>
      <c r="P45" s="98">
        <v>6.59E-2</v>
      </c>
      <c r="Q45" s="2" t="s">
        <v>63</v>
      </c>
      <c r="R45" s="2" t="s">
        <v>64</v>
      </c>
    </row>
    <row r="46" spans="1:23" s="4" customFormat="1" ht="15.75" customHeight="1">
      <c r="I46" s="4">
        <f>G5-(I44*C5)-I12-G16-G14</f>
        <v>0</v>
      </c>
      <c r="J46" s="4">
        <f t="shared" si="4"/>
        <v>61470</v>
      </c>
      <c r="K46" s="4">
        <f t="shared" si="5"/>
        <v>61470</v>
      </c>
      <c r="L46" s="4">
        <f t="shared" si="5"/>
        <v>3170.17</v>
      </c>
      <c r="M46" s="10">
        <f t="shared" si="5"/>
        <v>6.9500000000000006E-2</v>
      </c>
      <c r="N46" s="93">
        <v>61470</v>
      </c>
      <c r="O46" s="93">
        <v>3170.17</v>
      </c>
      <c r="P46" s="99">
        <v>6.9500000000000006E-2</v>
      </c>
      <c r="R46" s="2" t="s">
        <v>65</v>
      </c>
    </row>
    <row r="47" spans="1:23" s="4" customFormat="1" ht="15.75" customHeight="1">
      <c r="I47" s="9">
        <f>IF(C$7="b",26,IF(C$7="m",12,1))</f>
        <v>26</v>
      </c>
      <c r="J47" s="4">
        <f t="shared" si="4"/>
        <v>999999999</v>
      </c>
      <c r="K47" s="4">
        <f t="shared" si="5"/>
        <v>999999999</v>
      </c>
      <c r="L47" s="4">
        <f t="shared" si="5"/>
        <v>999999999</v>
      </c>
      <c r="M47" s="10">
        <f t="shared" si="5"/>
        <v>1</v>
      </c>
      <c r="N47" s="93">
        <v>999999999</v>
      </c>
      <c r="O47" s="93">
        <v>999999999</v>
      </c>
      <c r="P47" s="99">
        <v>1</v>
      </c>
      <c r="Q47" s="2" t="s">
        <v>66</v>
      </c>
      <c r="R47" s="2" t="s">
        <v>67</v>
      </c>
    </row>
    <row r="48" spans="1:23" s="4" customFormat="1" ht="15.75" customHeight="1">
      <c r="I48" s="4">
        <f>I46*I47</f>
        <v>0</v>
      </c>
      <c r="J48" s="4">
        <f t="shared" si="4"/>
        <v>999999999</v>
      </c>
      <c r="K48" s="4">
        <f t="shared" si="5"/>
        <v>999999999</v>
      </c>
      <c r="L48" s="4">
        <f t="shared" si="5"/>
        <v>999999999</v>
      </c>
      <c r="M48" s="10">
        <f t="shared" si="5"/>
        <v>1</v>
      </c>
      <c r="N48" s="93">
        <v>999999999</v>
      </c>
      <c r="O48" s="93">
        <v>999999999</v>
      </c>
      <c r="P48" s="94">
        <v>1</v>
      </c>
      <c r="R48" s="2" t="s">
        <v>68</v>
      </c>
    </row>
    <row r="49" spans="14:24" s="4" customFormat="1" ht="15.75" customHeight="1">
      <c r="N49" s="103" t="s">
        <v>69</v>
      </c>
      <c r="O49" s="103" t="s">
        <v>104</v>
      </c>
      <c r="P49" s="101" t="s">
        <v>19</v>
      </c>
      <c r="Q49" s="2" t="s">
        <v>70</v>
      </c>
      <c r="R49" s="2" t="s">
        <v>71</v>
      </c>
    </row>
    <row r="50" spans="14:24" s="4" customFormat="1" ht="15.75" customHeight="1">
      <c r="N50" s="93">
        <v>0</v>
      </c>
      <c r="O50" s="93">
        <v>0</v>
      </c>
      <c r="P50" s="91">
        <v>0</v>
      </c>
      <c r="R50" s="2" t="s">
        <v>72</v>
      </c>
    </row>
    <row r="51" spans="14:24" s="4" customFormat="1" ht="15.75" customHeight="1">
      <c r="N51" s="93">
        <v>7100</v>
      </c>
      <c r="O51" s="93">
        <v>0</v>
      </c>
      <c r="P51" s="98">
        <v>2.2599999999999999E-2</v>
      </c>
      <c r="Q51" s="2" t="s">
        <v>73</v>
      </c>
      <c r="R51" s="2" t="s">
        <v>74</v>
      </c>
    </row>
    <row r="52" spans="14:24" s="4" customFormat="1" ht="15.75" customHeight="1">
      <c r="N52" s="93">
        <v>10610</v>
      </c>
      <c r="O52" s="93">
        <v>79.33</v>
      </c>
      <c r="P52" s="98">
        <v>3.2199999999999999E-2</v>
      </c>
      <c r="R52" s="2" t="s">
        <v>75</v>
      </c>
    </row>
    <row r="53" spans="14:24" s="4" customFormat="1" ht="15.75" customHeight="1">
      <c r="N53" s="93">
        <v>26420</v>
      </c>
      <c r="O53" s="93">
        <v>588.41</v>
      </c>
      <c r="P53" s="98">
        <v>4.9099999999999998E-2</v>
      </c>
      <c r="Q53" s="2" t="s">
        <v>76</v>
      </c>
      <c r="R53" s="2" t="s">
        <v>77</v>
      </c>
    </row>
    <row r="54" spans="14:24" s="4" customFormat="1" ht="15.75" customHeight="1">
      <c r="N54" s="93">
        <v>41100</v>
      </c>
      <c r="O54" s="93">
        <v>1309.2</v>
      </c>
      <c r="P54" s="98">
        <v>6.2E-2</v>
      </c>
      <c r="R54" s="2" t="s">
        <v>72</v>
      </c>
    </row>
    <row r="55" spans="14:24" s="4" customFormat="1" ht="15.75" customHeight="1">
      <c r="N55" s="93">
        <v>50990</v>
      </c>
      <c r="O55" s="93">
        <v>1922.38</v>
      </c>
      <c r="P55" s="98">
        <v>6.59E-2</v>
      </c>
      <c r="Q55" s="2" t="s">
        <v>78</v>
      </c>
      <c r="R55" s="2" t="s">
        <v>79</v>
      </c>
    </row>
    <row r="56" spans="14:24" s="4" customFormat="1" ht="15.75" customHeight="1">
      <c r="N56" s="93">
        <v>67620</v>
      </c>
      <c r="O56" s="93">
        <v>3018.3</v>
      </c>
      <c r="P56" s="99">
        <v>6.9500000000000006E-2</v>
      </c>
      <c r="R56" s="2" t="s">
        <v>72</v>
      </c>
    </row>
    <row r="57" spans="14:24" s="4" customFormat="1" ht="15.75" customHeight="1">
      <c r="N57" s="93">
        <v>999999999</v>
      </c>
      <c r="O57" s="93">
        <v>999999999</v>
      </c>
      <c r="P57" s="99">
        <v>1</v>
      </c>
      <c r="Q57" s="2" t="s">
        <v>80</v>
      </c>
      <c r="R57" s="2" t="s">
        <v>81</v>
      </c>
    </row>
    <row r="58" spans="14:24" ht="15.75" customHeight="1">
      <c r="N58" s="93">
        <v>999999999</v>
      </c>
      <c r="O58" s="93">
        <v>999999999</v>
      </c>
      <c r="P58" s="94">
        <v>1</v>
      </c>
      <c r="R58" s="1" t="s">
        <v>82</v>
      </c>
      <c r="W58" s="4"/>
      <c r="X58" s="4"/>
    </row>
    <row r="59" spans="14:24" ht="15.75" customHeight="1">
      <c r="N59" s="95"/>
      <c r="O59" s="95"/>
      <c r="P59" s="92"/>
      <c r="R59" s="1" t="s">
        <v>83</v>
      </c>
      <c r="W59" s="4"/>
      <c r="X59" s="4"/>
    </row>
    <row r="60" spans="14:24" ht="15.75" customHeight="1">
      <c r="N60" s="93"/>
      <c r="O60" s="93"/>
      <c r="P60" s="91"/>
      <c r="R60" s="1" t="s">
        <v>84</v>
      </c>
    </row>
    <row r="61" spans="14:24" ht="15.75" customHeight="1">
      <c r="N61" s="93"/>
      <c r="O61" s="93"/>
      <c r="P61" s="98"/>
      <c r="R61" s="1" t="s">
        <v>85</v>
      </c>
    </row>
    <row r="62" spans="14:24" ht="15.75" customHeight="1">
      <c r="N62" s="93"/>
      <c r="O62" s="93"/>
      <c r="P62" s="98"/>
      <c r="R62" s="1" t="s">
        <v>86</v>
      </c>
    </row>
    <row r="63" spans="14:24" ht="15.75" customHeight="1">
      <c r="N63" s="93"/>
      <c r="O63" s="93"/>
      <c r="P63" s="98"/>
    </row>
    <row r="64" spans="14:24" ht="15.75" customHeight="1">
      <c r="N64" s="93"/>
      <c r="O64" s="93"/>
      <c r="P64" s="98"/>
      <c r="Q64" s="1" t="s">
        <v>87</v>
      </c>
      <c r="R64" s="1" t="s">
        <v>88</v>
      </c>
    </row>
    <row r="65" spans="14:18" ht="15.75" customHeight="1">
      <c r="N65" s="93"/>
      <c r="O65" s="93"/>
      <c r="P65" s="98"/>
    </row>
    <row r="66" spans="14:18" ht="15.75" customHeight="1">
      <c r="N66" s="93"/>
      <c r="O66" s="93"/>
      <c r="P66" s="99"/>
      <c r="Q66" s="1" t="s">
        <v>89</v>
      </c>
      <c r="R66" s="1" t="s">
        <v>90</v>
      </c>
    </row>
    <row r="67" spans="14:18" ht="15.75" customHeight="1">
      <c r="N67" s="93"/>
      <c r="O67" s="93"/>
      <c r="P67" s="99"/>
    </row>
    <row r="68" spans="14:18" ht="15.75" customHeight="1">
      <c r="N68" s="93"/>
      <c r="O68" s="93"/>
      <c r="P68" s="94"/>
      <c r="Q68" t="s">
        <v>95</v>
      </c>
      <c r="R68" t="s">
        <v>96</v>
      </c>
    </row>
    <row r="69" spans="14:18" ht="15.75" customHeight="1">
      <c r="N69" s="95"/>
      <c r="O69" s="95"/>
      <c r="P69" s="92"/>
      <c r="R69" t="s">
        <v>97</v>
      </c>
    </row>
    <row r="70" spans="14:18" ht="15.75" customHeight="1">
      <c r="N70" s="93"/>
      <c r="O70" s="93"/>
      <c r="P70" s="91"/>
    </row>
    <row r="71" spans="14:18" ht="15.75" customHeight="1">
      <c r="N71" s="93"/>
      <c r="O71" s="93"/>
      <c r="P71" s="98"/>
      <c r="Q71" t="s">
        <v>98</v>
      </c>
      <c r="R71" t="s">
        <v>99</v>
      </c>
    </row>
    <row r="72" spans="14:18" ht="15.75" customHeight="1">
      <c r="N72" s="93"/>
      <c r="O72" s="93"/>
      <c r="P72" s="98"/>
      <c r="R72" t="s">
        <v>100</v>
      </c>
    </row>
    <row r="73" spans="14:18" ht="15.75" customHeight="1">
      <c r="N73" s="93"/>
      <c r="O73" s="93"/>
      <c r="P73" s="98"/>
    </row>
    <row r="74" spans="14:18" ht="15.75" customHeight="1">
      <c r="N74" s="93"/>
      <c r="O74" s="93"/>
      <c r="P74" s="98"/>
    </row>
    <row r="75" spans="14:18" ht="15.75" customHeight="1">
      <c r="N75" s="93"/>
      <c r="O75" s="93"/>
      <c r="P75" s="98"/>
    </row>
    <row r="76" spans="14:18" ht="15.75" customHeight="1">
      <c r="N76" s="93"/>
      <c r="O76" s="93"/>
      <c r="P76" s="99"/>
    </row>
    <row r="77" spans="14:18" ht="15.75" customHeight="1">
      <c r="N77" s="93"/>
      <c r="O77" s="93"/>
      <c r="P77" s="99"/>
    </row>
    <row r="78" spans="14:18" ht="15.75" customHeight="1">
      <c r="N78" s="93"/>
      <c r="O78" s="93"/>
      <c r="P78" s="98"/>
    </row>
    <row r="79" spans="14:18" ht="15.75" customHeight="1">
      <c r="N79" s="94"/>
      <c r="O79" s="94"/>
      <c r="P79" s="91"/>
    </row>
    <row r="80" spans="14:18" ht="15.75" customHeight="1">
      <c r="N80" s="94"/>
      <c r="O80" s="94"/>
      <c r="P80" s="91"/>
    </row>
    <row r="81" spans="14:16" ht="15.75" customHeight="1">
      <c r="N81" s="100" t="s">
        <v>91</v>
      </c>
      <c r="O81" s="104" t="s">
        <v>92</v>
      </c>
      <c r="P81" s="91"/>
    </row>
    <row r="82" spans="14:16" ht="15.75" customHeight="1">
      <c r="N82" s="94"/>
      <c r="O82" s="94"/>
      <c r="P82" s="91"/>
    </row>
    <row r="83" spans="14:16" ht="15.75" customHeight="1">
      <c r="N83" s="94" t="s">
        <v>105</v>
      </c>
      <c r="O83" s="94">
        <v>4300</v>
      </c>
      <c r="P83" s="91"/>
    </row>
    <row r="84" spans="14:16" ht="15.75" customHeight="1">
      <c r="N84" s="94" t="s">
        <v>93</v>
      </c>
      <c r="O84" s="94"/>
      <c r="P84" s="91"/>
    </row>
    <row r="85" spans="14:16" ht="15.75" customHeight="1">
      <c r="N85" s="94"/>
      <c r="O85" s="94"/>
      <c r="P85" s="91"/>
    </row>
    <row r="86" spans="14:16" ht="15.75" customHeight="1">
      <c r="N86" s="94" t="s">
        <v>106</v>
      </c>
      <c r="O86" s="94">
        <v>1960</v>
      </c>
      <c r="P86" s="91"/>
    </row>
    <row r="87" spans="14:16" ht="15.75" customHeight="1">
      <c r="N87" s="94" t="s">
        <v>94</v>
      </c>
      <c r="O87" s="94"/>
      <c r="P87" s="94"/>
    </row>
    <row r="88" spans="14:16" ht="15.75" customHeight="1"/>
    <row r="89" spans="14:16" ht="15.75" customHeight="1"/>
    <row r="90" spans="14:16" ht="15.75" customHeight="1"/>
  </sheetData>
  <sheetProtection sheet="1" formatCells="0" selectLockedCells="1"/>
  <mergeCells count="5">
    <mergeCell ref="J22:K22"/>
    <mergeCell ref="J18:K18"/>
    <mergeCell ref="C2:E2"/>
    <mergeCell ref="C3:E3"/>
    <mergeCell ref="E25:G39"/>
  </mergeCells>
  <phoneticPr fontId="0" type="noConversion"/>
  <dataValidations count="4">
    <dataValidation type="list" allowBlank="1" showInputMessage="1" showErrorMessage="1" sqref="C9" xr:uid="{00000000-0002-0000-0000-000000000000}">
      <formula1>"S, M"</formula1>
    </dataValidation>
    <dataValidation type="list" allowBlank="1" showInputMessage="1" showErrorMessage="1" sqref="C7" xr:uid="{00000000-0002-0000-0000-000001000000}">
      <formula1>"B, M"</formula1>
    </dataValidation>
    <dataValidation type="list" allowBlank="1" showInputMessage="1" showErrorMessage="1" sqref="C17" xr:uid="{00000000-0002-0000-0000-000002000000}">
      <formula1>"Y,N"</formula1>
    </dataValidation>
    <dataValidation type="list" allowBlank="1" showInputMessage="1" showErrorMessage="1" sqref="C19" xr:uid="{00000000-0002-0000-0000-000003000000}">
      <formula1>"S,T,P,J1,J2,J3,J4,J5"</formula1>
    </dataValidation>
  </dataValidations>
  <printOptions horizontalCentered="1" gridLines="1"/>
  <pageMargins left="0.5" right="0.5" top="1" bottom="0.5" header="0.5" footer="0.5"/>
  <pageSetup scale="95" orientation="portrait" r:id="rId1"/>
  <headerFooter alignWithMargins="0"/>
  <ignoredErrors>
    <ignoredError sqref="G5:G15 G20:G22 G16:G17 C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5"/>
  <sheetViews>
    <sheetView topLeftCell="A13" zoomScaleNormal="100" workbookViewId="0">
      <selection activeCell="G46" sqref="G46"/>
    </sheetView>
  </sheetViews>
  <sheetFormatPr defaultRowHeight="15"/>
  <cols>
    <col min="1" max="1" width="5" customWidth="1"/>
    <col min="2" max="2" width="30.77734375" customWidth="1"/>
    <col min="3" max="3" width="10.77734375" customWidth="1"/>
    <col min="4" max="4" width="1.77734375" customWidth="1"/>
    <col min="5" max="5" width="4.77734375" customWidth="1"/>
    <col min="6" max="6" width="16.77734375" customWidth="1"/>
    <col min="7" max="7" width="14.33203125" customWidth="1"/>
    <col min="8" max="8" width="6.77734375" hidden="1" customWidth="1"/>
    <col min="9" max="9" width="9.5546875" hidden="1" customWidth="1"/>
    <col min="10" max="12" width="11.88671875" hidden="1" customWidth="1"/>
    <col min="13" max="13" width="6.6640625" hidden="1" customWidth="1"/>
    <col min="14" max="15" width="14.88671875" hidden="1" customWidth="1"/>
    <col min="16" max="16" width="10.6640625" hidden="1" customWidth="1"/>
    <col min="17" max="17" width="8.109375" hidden="1" customWidth="1"/>
    <col min="18" max="18" width="9" hidden="1" customWidth="1"/>
    <col min="19" max="19" width="5.77734375" hidden="1" customWidth="1"/>
    <col min="20" max="20" width="6.21875" hidden="1" customWidth="1"/>
    <col min="21" max="21" width="3" hidden="1" customWidth="1"/>
    <col min="22" max="22" width="5.33203125" hidden="1" customWidth="1"/>
    <col min="23" max="23" width="7.21875" hidden="1" customWidth="1"/>
    <col min="24" max="24" width="7.77734375" hidden="1" customWidth="1"/>
    <col min="25" max="25" width="5.21875" hidden="1" customWidth="1"/>
    <col min="26" max="26" width="10.5546875" hidden="1" customWidth="1"/>
    <col min="27" max="27" width="5.5546875" hidden="1" customWidth="1"/>
    <col min="28" max="29" width="14.88671875" hidden="1" customWidth="1"/>
    <col min="30" max="30" width="8.88671875" hidden="1" customWidth="1"/>
  </cols>
  <sheetData>
    <row r="1" spans="1:30" ht="15.75" thickBot="1">
      <c r="A1" s="32"/>
      <c r="B1" s="33"/>
      <c r="C1" s="34" t="s">
        <v>178</v>
      </c>
      <c r="D1" s="35"/>
      <c r="E1" s="35"/>
      <c r="F1" s="35"/>
      <c r="G1" s="36"/>
      <c r="Q1" s="1" t="s">
        <v>0</v>
      </c>
      <c r="W1" t="s">
        <v>128</v>
      </c>
      <c r="X1" s="14"/>
    </row>
    <row r="2" spans="1:30">
      <c r="A2" s="37"/>
      <c r="B2" s="38" t="s">
        <v>115</v>
      </c>
      <c r="C2" s="134"/>
      <c r="D2" s="134"/>
      <c r="E2" s="134"/>
      <c r="F2" s="39"/>
      <c r="G2" s="40"/>
      <c r="W2" t="s">
        <v>129</v>
      </c>
      <c r="X2" t="s">
        <v>130</v>
      </c>
    </row>
    <row r="3" spans="1:30">
      <c r="A3" s="37"/>
      <c r="B3" s="41" t="s">
        <v>116</v>
      </c>
      <c r="C3" s="135"/>
      <c r="D3" s="136"/>
      <c r="E3" s="136"/>
      <c r="F3" s="42"/>
      <c r="G3" s="43"/>
      <c r="Q3" s="1" t="s">
        <v>3</v>
      </c>
      <c r="R3" s="1" t="s">
        <v>4</v>
      </c>
      <c r="W3" s="4" t="s">
        <v>131</v>
      </c>
      <c r="X3" s="26">
        <v>0.09</v>
      </c>
    </row>
    <row r="4" spans="1:30" s="4" customFormat="1" ht="13.5" thickBot="1">
      <c r="A4" s="44"/>
      <c r="B4" s="45"/>
      <c r="C4" s="46"/>
      <c r="D4" s="46"/>
      <c r="E4" s="46"/>
      <c r="F4" s="46"/>
      <c r="G4" s="47"/>
      <c r="W4" s="4" t="s">
        <v>132</v>
      </c>
      <c r="X4" s="26">
        <v>7.0000000000000007E-2</v>
      </c>
    </row>
    <row r="5" spans="1:30" s="4" customFormat="1" ht="15.75" customHeight="1">
      <c r="A5" s="44"/>
      <c r="B5" s="124" t="s">
        <v>162</v>
      </c>
      <c r="C5" s="112">
        <v>0</v>
      </c>
      <c r="D5" s="49"/>
      <c r="E5" s="50"/>
      <c r="F5" s="51" t="s">
        <v>21</v>
      </c>
      <c r="G5" s="52">
        <f>(C16*C17)+((C18*1.5)*C16)</f>
        <v>0</v>
      </c>
      <c r="I5" s="2" t="s">
        <v>6</v>
      </c>
      <c r="Q5" s="2" t="s">
        <v>8</v>
      </c>
      <c r="R5" s="2" t="s">
        <v>9</v>
      </c>
      <c r="W5" s="4" t="s">
        <v>133</v>
      </c>
      <c r="X5" s="26">
        <v>0.05</v>
      </c>
      <c r="AB5" s="100"/>
      <c r="AC5" s="105" t="s">
        <v>159</v>
      </c>
      <c r="AD5" s="91"/>
    </row>
    <row r="6" spans="1:30" s="4" customFormat="1" ht="15.75" customHeight="1">
      <c r="A6" s="44"/>
      <c r="B6" s="124" t="s">
        <v>163</v>
      </c>
      <c r="C6" s="58" t="s">
        <v>164</v>
      </c>
      <c r="D6" s="49"/>
      <c r="E6" s="50"/>
      <c r="F6" s="51" t="s">
        <v>101</v>
      </c>
      <c r="G6" s="56">
        <f>G5-G13-G14-G16</f>
        <v>0</v>
      </c>
      <c r="I6" s="3">
        <f>IF((C11=I5),2,0)</f>
        <v>0</v>
      </c>
      <c r="L6" s="2" t="s">
        <v>7</v>
      </c>
      <c r="N6" s="100"/>
      <c r="O6" s="105" t="s">
        <v>159</v>
      </c>
      <c r="P6" s="91"/>
      <c r="Q6" s="2"/>
      <c r="R6" s="2"/>
      <c r="X6" s="26"/>
      <c r="AB6" s="101" t="s">
        <v>1</v>
      </c>
      <c r="AC6" s="101" t="s">
        <v>104</v>
      </c>
      <c r="AD6" s="102" t="s">
        <v>2</v>
      </c>
    </row>
    <row r="7" spans="1:30" s="4" customFormat="1" ht="15.75" customHeight="1">
      <c r="A7" s="44"/>
      <c r="B7" s="124" t="s">
        <v>167</v>
      </c>
      <c r="C7" s="112">
        <v>0</v>
      </c>
      <c r="D7" s="49"/>
      <c r="E7" s="50"/>
      <c r="F7" s="51" t="s">
        <v>103</v>
      </c>
      <c r="G7" s="56">
        <f>G5-G16</f>
        <v>0</v>
      </c>
      <c r="I7" s="3"/>
      <c r="L7" s="2"/>
      <c r="N7" s="101" t="s">
        <v>1</v>
      </c>
      <c r="O7" s="101" t="s">
        <v>104</v>
      </c>
      <c r="P7" s="102" t="s">
        <v>2</v>
      </c>
      <c r="Q7" s="2"/>
      <c r="R7" s="2"/>
      <c r="X7" s="26"/>
      <c r="AB7" s="93">
        <v>0</v>
      </c>
      <c r="AC7" s="93">
        <v>0</v>
      </c>
      <c r="AD7" s="91">
        <v>0</v>
      </c>
    </row>
    <row r="8" spans="1:30" s="4" customFormat="1" ht="15.75" customHeight="1">
      <c r="A8" s="44"/>
      <c r="B8" s="124" t="s">
        <v>165</v>
      </c>
      <c r="C8" s="112">
        <v>0</v>
      </c>
      <c r="D8" s="49"/>
      <c r="E8" s="60"/>
      <c r="F8" s="61" t="s">
        <v>102</v>
      </c>
      <c r="G8" s="62">
        <f>G5</f>
        <v>0</v>
      </c>
      <c r="I8" s="3" t="s">
        <v>173</v>
      </c>
      <c r="L8" s="2"/>
      <c r="N8" s="93">
        <v>0</v>
      </c>
      <c r="O8" s="93">
        <v>0</v>
      </c>
      <c r="P8" s="91">
        <v>0</v>
      </c>
      <c r="Q8" s="2"/>
      <c r="R8" s="2"/>
      <c r="X8" s="26"/>
      <c r="AB8" s="93">
        <v>3950</v>
      </c>
      <c r="AC8" s="93">
        <v>0</v>
      </c>
      <c r="AD8" s="91">
        <v>0.1</v>
      </c>
    </row>
    <row r="9" spans="1:30" s="4" customFormat="1" ht="15.75" customHeight="1">
      <c r="A9" s="44"/>
      <c r="B9" s="124" t="s">
        <v>166</v>
      </c>
      <c r="C9" s="112">
        <v>0</v>
      </c>
      <c r="D9" s="49"/>
      <c r="E9" s="51"/>
      <c r="F9" s="51" t="s">
        <v>16</v>
      </c>
      <c r="G9" s="56">
        <f>I57-I58</f>
        <v>0</v>
      </c>
      <c r="I9" s="3" t="s">
        <v>174</v>
      </c>
      <c r="L9" s="2"/>
      <c r="N9" s="93">
        <v>6275</v>
      </c>
      <c r="O9" s="93">
        <v>0</v>
      </c>
      <c r="P9" s="91">
        <v>0.1</v>
      </c>
      <c r="Q9" s="2"/>
      <c r="R9" s="2"/>
      <c r="X9" s="26"/>
      <c r="AB9" s="93">
        <v>13900</v>
      </c>
      <c r="AC9" s="93">
        <v>995</v>
      </c>
      <c r="AD9" s="91">
        <v>0.12</v>
      </c>
    </row>
    <row r="10" spans="1:30" s="4" customFormat="1" ht="15.75" customHeight="1">
      <c r="A10" s="44"/>
      <c r="B10" s="53" t="s">
        <v>10</v>
      </c>
      <c r="C10" s="54"/>
      <c r="D10" s="55"/>
      <c r="E10" s="50"/>
      <c r="F10" s="51" t="s">
        <v>27</v>
      </c>
      <c r="G10" s="56">
        <f>ROUND((((((I50-VLOOKUP(I50,J45:M53,2)))*VLOOKUP(I50,J45:M53,4))+VLOOKUP(I50,J45:M53,3))/I52)+C20,2)</f>
        <v>0</v>
      </c>
      <c r="H10" s="12"/>
      <c r="I10" s="3" t="s">
        <v>175</v>
      </c>
      <c r="L10" s="2"/>
      <c r="N10" s="93">
        <v>11250</v>
      </c>
      <c r="O10" s="93">
        <v>497.5</v>
      </c>
      <c r="P10" s="91">
        <v>0.12</v>
      </c>
      <c r="R10" s="2" t="s">
        <v>11</v>
      </c>
      <c r="W10" s="4" t="s">
        <v>134</v>
      </c>
      <c r="X10" s="26">
        <v>0.01</v>
      </c>
      <c r="AB10" s="93">
        <v>44475</v>
      </c>
      <c r="AC10" s="93">
        <v>4664</v>
      </c>
      <c r="AD10" s="91">
        <v>0.22</v>
      </c>
    </row>
    <row r="11" spans="1:30" s="4" customFormat="1" ht="15.75" customHeight="1">
      <c r="A11" s="44"/>
      <c r="B11" s="57" t="s">
        <v>143</v>
      </c>
      <c r="C11" s="58" t="s">
        <v>160</v>
      </c>
      <c r="D11" s="59"/>
      <c r="E11" s="50"/>
      <c r="F11" s="51" t="s">
        <v>117</v>
      </c>
      <c r="G11" s="56">
        <f>ROUND(G$7*6.2/100,2)</f>
        <v>0</v>
      </c>
      <c r="I11" s="2" t="s">
        <v>6</v>
      </c>
      <c r="L11" s="2" t="s">
        <v>7</v>
      </c>
      <c r="N11" s="93">
        <v>26538</v>
      </c>
      <c r="O11" s="93">
        <v>2332</v>
      </c>
      <c r="P11" s="91">
        <v>0.22</v>
      </c>
      <c r="R11" s="2" t="s">
        <v>12</v>
      </c>
      <c r="W11" s="4" t="s">
        <v>142</v>
      </c>
      <c r="X11" s="26">
        <v>0.1</v>
      </c>
      <c r="AB11" s="93">
        <v>90325</v>
      </c>
      <c r="AC11" s="93">
        <v>14751</v>
      </c>
      <c r="AD11" s="91">
        <v>0.24</v>
      </c>
    </row>
    <row r="12" spans="1:30" s="4" customFormat="1" ht="15.75" customHeight="1">
      <c r="A12" s="44"/>
      <c r="B12" s="53" t="s">
        <v>13</v>
      </c>
      <c r="C12" s="54"/>
      <c r="D12" s="59"/>
      <c r="E12" s="50"/>
      <c r="F12" s="87" t="s">
        <v>118</v>
      </c>
      <c r="G12" s="56">
        <f>ROUND(G$7*1.45/100,2)</f>
        <v>0</v>
      </c>
      <c r="I12" s="6">
        <f>IF(C14=I8,0,IF(C14=I9,1,2))</f>
        <v>1</v>
      </c>
      <c r="L12" s="2" t="s">
        <v>7</v>
      </c>
      <c r="N12" s="93">
        <v>49463</v>
      </c>
      <c r="O12" s="93">
        <v>7375.5</v>
      </c>
      <c r="P12" s="91">
        <v>0.24</v>
      </c>
      <c r="W12" s="4" t="s">
        <v>135</v>
      </c>
      <c r="X12" s="26">
        <v>0.16</v>
      </c>
      <c r="AB12" s="93">
        <v>168875</v>
      </c>
      <c r="AC12" s="93">
        <v>33603</v>
      </c>
      <c r="AD12" s="91">
        <v>0.32</v>
      </c>
    </row>
    <row r="13" spans="1:30" s="4" customFormat="1" ht="15.75" customHeight="1">
      <c r="A13" s="44"/>
      <c r="B13" s="57" t="s">
        <v>171</v>
      </c>
      <c r="C13" s="58" t="s">
        <v>177</v>
      </c>
      <c r="D13" s="59"/>
      <c r="E13" s="63"/>
      <c r="F13" s="51" t="s">
        <v>22</v>
      </c>
      <c r="G13" s="56">
        <f>IF(C22="Y",ROUND(G5*C25,2),0)</f>
        <v>0</v>
      </c>
      <c r="I13" s="3">
        <f>I12</f>
        <v>1</v>
      </c>
      <c r="J13" s="5">
        <f t="shared" ref="J13:J19" si="0">IF($C$6=$I$16,CHOOSE($I$13+1,N8,N20,N32),CHOOSE($I$13+1,AB7,AB19,AB31))</f>
        <v>0</v>
      </c>
      <c r="K13" s="5">
        <f t="shared" ref="K13:M19" si="1">IF($C$6=$I$16,CHOOSE($I$13+1,N8,N20,N32),CHOOSE($I$13+1,AB7,AB19,AB31))</f>
        <v>0</v>
      </c>
      <c r="L13" s="5">
        <f t="shared" si="1"/>
        <v>0</v>
      </c>
      <c r="M13" s="4">
        <f t="shared" si="1"/>
        <v>0</v>
      </c>
      <c r="N13" s="93">
        <v>88738</v>
      </c>
      <c r="O13" s="93">
        <v>16801.5</v>
      </c>
      <c r="P13" s="91">
        <v>0.32</v>
      </c>
      <c r="Q13" s="2" t="s">
        <v>14</v>
      </c>
      <c r="R13" s="2" t="s">
        <v>15</v>
      </c>
      <c r="W13" s="4" t="s">
        <v>119</v>
      </c>
      <c r="X13" s="26">
        <v>4.8000000000000001E-2</v>
      </c>
      <c r="AB13" s="93">
        <v>213375</v>
      </c>
      <c r="AC13" s="93">
        <v>47843</v>
      </c>
      <c r="AD13" s="91">
        <v>0.35</v>
      </c>
    </row>
    <row r="14" spans="1:30" s="4" customFormat="1" ht="15.75" customHeight="1">
      <c r="A14" s="44"/>
      <c r="B14" s="57" t="s">
        <v>172</v>
      </c>
      <c r="C14" s="58" t="s">
        <v>176</v>
      </c>
      <c r="D14" s="59"/>
      <c r="E14" s="60"/>
      <c r="F14" s="61" t="s">
        <v>31</v>
      </c>
      <c r="G14" s="62">
        <f>C26</f>
        <v>0</v>
      </c>
      <c r="I14" s="4">
        <f>IF(C14=I9,O88,P88)</f>
        <v>12900</v>
      </c>
      <c r="J14" s="5">
        <f t="shared" si="0"/>
        <v>12200</v>
      </c>
      <c r="K14" s="5">
        <f t="shared" si="1"/>
        <v>12200</v>
      </c>
      <c r="L14" s="5">
        <f t="shared" si="1"/>
        <v>0</v>
      </c>
      <c r="M14" s="4">
        <f t="shared" si="1"/>
        <v>0.1</v>
      </c>
      <c r="N14" s="93">
        <v>110988</v>
      </c>
      <c r="O14" s="93">
        <v>23921.5</v>
      </c>
      <c r="P14" s="91">
        <v>0.35</v>
      </c>
      <c r="Q14" s="2"/>
      <c r="R14" s="2"/>
      <c r="X14" s="26"/>
      <c r="AB14" s="93">
        <v>527550</v>
      </c>
      <c r="AC14" s="93">
        <v>157804.25</v>
      </c>
      <c r="AD14" s="91">
        <v>0.37</v>
      </c>
    </row>
    <row r="15" spans="1:30" s="4" customFormat="1" ht="15.75" customHeight="1">
      <c r="A15" s="44"/>
      <c r="B15" s="53" t="s">
        <v>21</v>
      </c>
      <c r="C15" s="54"/>
      <c r="D15" s="59"/>
      <c r="E15" s="50"/>
      <c r="F15" s="51" t="s">
        <v>157</v>
      </c>
      <c r="G15" s="56">
        <f>SUM(C38:C45)</f>
        <v>0</v>
      </c>
      <c r="I15" s="7">
        <f>IF(I19&lt;0,0,I21)</f>
        <v>0</v>
      </c>
      <c r="J15" s="5">
        <f t="shared" si="0"/>
        <v>32100</v>
      </c>
      <c r="K15" s="5">
        <f t="shared" si="1"/>
        <v>32100</v>
      </c>
      <c r="L15" s="5">
        <f t="shared" si="1"/>
        <v>1990</v>
      </c>
      <c r="M15" s="4">
        <f t="shared" si="1"/>
        <v>0.12</v>
      </c>
      <c r="N15" s="93">
        <v>268075</v>
      </c>
      <c r="O15" s="93">
        <v>78902.13</v>
      </c>
      <c r="P15" s="91">
        <v>0.37</v>
      </c>
      <c r="R15" s="2" t="s">
        <v>17</v>
      </c>
      <c r="W15" s="4" t="s">
        <v>125</v>
      </c>
      <c r="X15" s="26">
        <v>9.7799999999999998E-2</v>
      </c>
      <c r="AB15" s="93">
        <v>9999999999</v>
      </c>
      <c r="AC15" s="93">
        <v>9999999999</v>
      </c>
      <c r="AD15" s="91">
        <v>1</v>
      </c>
    </row>
    <row r="16" spans="1:30" s="4" customFormat="1" ht="15.75" customHeight="1" thickBot="1">
      <c r="A16" s="44"/>
      <c r="B16" s="57" t="s">
        <v>126</v>
      </c>
      <c r="C16" s="111">
        <v>0</v>
      </c>
      <c r="D16" s="59"/>
      <c r="E16" s="50"/>
      <c r="F16" s="51" t="s">
        <v>158</v>
      </c>
      <c r="G16" s="56">
        <f>SUM(C29:C36)</f>
        <v>0</v>
      </c>
      <c r="I16" s="2" t="s">
        <v>18</v>
      </c>
      <c r="J16" s="5">
        <f t="shared" si="0"/>
        <v>93250</v>
      </c>
      <c r="K16" s="5">
        <f t="shared" si="1"/>
        <v>93250</v>
      </c>
      <c r="L16" s="5">
        <f t="shared" si="1"/>
        <v>9328</v>
      </c>
      <c r="M16" s="4">
        <f t="shared" si="1"/>
        <v>0.22</v>
      </c>
      <c r="N16" s="93">
        <v>9999999999</v>
      </c>
      <c r="O16" s="93">
        <v>9999999999</v>
      </c>
      <c r="P16" s="91">
        <v>1</v>
      </c>
      <c r="R16" s="2" t="s">
        <v>20</v>
      </c>
      <c r="AB16" s="93">
        <v>9999999999</v>
      </c>
      <c r="AC16" s="93">
        <v>9999999999</v>
      </c>
      <c r="AD16" s="91">
        <v>1</v>
      </c>
    </row>
    <row r="17" spans="1:30" s="4" customFormat="1" ht="15.75" customHeight="1" thickBot="1">
      <c r="A17" s="44"/>
      <c r="B17" s="57" t="s">
        <v>127</v>
      </c>
      <c r="C17" s="113">
        <v>1</v>
      </c>
      <c r="D17" s="59"/>
      <c r="E17" s="66"/>
      <c r="F17" s="67" t="s">
        <v>114</v>
      </c>
      <c r="G17" s="110">
        <f>G5-SUM(G9:G16)</f>
        <v>0</v>
      </c>
      <c r="I17" s="7">
        <f>IF(C22=I16,G13,0)</f>
        <v>0</v>
      </c>
      <c r="J17" s="5">
        <f t="shared" si="0"/>
        <v>184950</v>
      </c>
      <c r="K17" s="5">
        <f t="shared" si="1"/>
        <v>184950</v>
      </c>
      <c r="L17" s="5">
        <f t="shared" si="1"/>
        <v>29502</v>
      </c>
      <c r="M17" s="4">
        <f t="shared" si="1"/>
        <v>0.24</v>
      </c>
      <c r="N17" s="93">
        <v>9999999999</v>
      </c>
      <c r="O17" s="93">
        <v>9999999999</v>
      </c>
      <c r="P17" s="91">
        <v>1</v>
      </c>
      <c r="V17" s="27"/>
      <c r="Y17" s="27"/>
      <c r="AB17" s="94"/>
      <c r="AC17" s="94"/>
      <c r="AD17" s="94"/>
    </row>
    <row r="18" spans="1:30" s="4" customFormat="1" ht="15.75" customHeight="1" thickBot="1">
      <c r="A18" s="44"/>
      <c r="B18" s="64" t="s">
        <v>139</v>
      </c>
      <c r="C18" s="114">
        <v>0</v>
      </c>
      <c r="D18" s="59"/>
      <c r="E18" s="50"/>
      <c r="F18" s="50"/>
      <c r="G18" s="68"/>
      <c r="J18" s="5">
        <f t="shared" si="0"/>
        <v>342050</v>
      </c>
      <c r="K18" s="5">
        <f t="shared" si="1"/>
        <v>342050</v>
      </c>
      <c r="L18" s="5">
        <f t="shared" si="1"/>
        <v>67206</v>
      </c>
      <c r="M18" s="4">
        <f t="shared" si="1"/>
        <v>0.32</v>
      </c>
      <c r="N18" s="94"/>
      <c r="O18" s="94"/>
      <c r="P18" s="94"/>
      <c r="Q18" s="2" t="s">
        <v>23</v>
      </c>
      <c r="R18" s="2" t="s">
        <v>24</v>
      </c>
      <c r="V18" s="27"/>
      <c r="W18" s="31" t="s">
        <v>138</v>
      </c>
      <c r="X18" s="28"/>
      <c r="Y18" s="27"/>
      <c r="AB18" s="103" t="s">
        <v>1</v>
      </c>
      <c r="AC18" s="103" t="s">
        <v>104</v>
      </c>
      <c r="AD18" s="102" t="s">
        <v>19</v>
      </c>
    </row>
    <row r="19" spans="1:30" s="4" customFormat="1" ht="15.75" customHeight="1" thickBot="1">
      <c r="A19" s="44"/>
      <c r="B19" s="57" t="s">
        <v>120</v>
      </c>
      <c r="C19" s="65">
        <v>0</v>
      </c>
      <c r="D19" s="59"/>
      <c r="E19" s="66"/>
      <c r="F19" s="67" t="s">
        <v>47</v>
      </c>
      <c r="G19" s="69"/>
      <c r="I19" s="127">
        <f>G5-I17-G16-G14-IF(C6=I16,0,I14/I20)</f>
        <v>-496.15</v>
      </c>
      <c r="J19" s="5">
        <f t="shared" si="0"/>
        <v>431050</v>
      </c>
      <c r="K19" s="5">
        <f t="shared" si="1"/>
        <v>431050</v>
      </c>
      <c r="L19" s="5">
        <f t="shared" si="1"/>
        <v>95686</v>
      </c>
      <c r="M19" s="4">
        <f t="shared" si="1"/>
        <v>0.35</v>
      </c>
      <c r="N19" s="103" t="s">
        <v>1</v>
      </c>
      <c r="O19" s="103" t="s">
        <v>104</v>
      </c>
      <c r="P19" s="102" t="s">
        <v>19</v>
      </c>
      <c r="Q19" s="2" t="s">
        <v>25</v>
      </c>
      <c r="R19" s="2" t="s">
        <v>26</v>
      </c>
      <c r="V19" s="27"/>
      <c r="W19" s="28" t="s">
        <v>129</v>
      </c>
      <c r="X19" s="28" t="s">
        <v>130</v>
      </c>
      <c r="Y19" s="27"/>
      <c r="AA19" s="4">
        <v>185</v>
      </c>
      <c r="AB19" s="93">
        <v>0</v>
      </c>
      <c r="AC19" s="93">
        <v>0</v>
      </c>
      <c r="AD19" s="91">
        <v>0</v>
      </c>
    </row>
    <row r="20" spans="1:30" s="4" customFormat="1" ht="15.75" customHeight="1">
      <c r="A20" s="44"/>
      <c r="B20" s="57" t="s">
        <v>121</v>
      </c>
      <c r="C20" s="123">
        <v>0</v>
      </c>
      <c r="D20" s="59"/>
      <c r="E20" s="70"/>
      <c r="F20" s="71" t="s">
        <v>117</v>
      </c>
      <c r="G20" s="72">
        <f>ROUND(G$7*6.2/100,2)</f>
        <v>0</v>
      </c>
      <c r="I20" s="9">
        <f>IF(C$11="b",26,IF(C$11="M",12,1))</f>
        <v>26</v>
      </c>
      <c r="J20" s="5">
        <f t="shared" ref="J20:J22" si="2">IF($C$6=$I$16,CHOOSE($I$13+1,N15,N27,N39),CHOOSE($I$13+1,AB14,AB26,AB38))</f>
        <v>640500</v>
      </c>
      <c r="K20" s="5">
        <f t="shared" ref="K20:M20" si="3">IF($C$6=$I$16,CHOOSE($I$13+1,N15,N27,N39),CHOOSE($I$13+1,AB14,AB26,AB38))</f>
        <v>640500</v>
      </c>
      <c r="L20" s="5">
        <f t="shared" si="3"/>
        <v>168993.5</v>
      </c>
      <c r="M20" s="4">
        <f t="shared" si="3"/>
        <v>0.37</v>
      </c>
      <c r="N20" s="93">
        <v>0</v>
      </c>
      <c r="O20" s="93">
        <v>0</v>
      </c>
      <c r="P20" s="91">
        <v>0</v>
      </c>
      <c r="Q20" s="2" t="s">
        <v>28</v>
      </c>
      <c r="R20" s="2" t="s">
        <v>29</v>
      </c>
      <c r="V20" s="27"/>
      <c r="W20" s="29" t="s">
        <v>131</v>
      </c>
      <c r="X20" s="30">
        <v>0</v>
      </c>
      <c r="Y20" s="27"/>
      <c r="AA20" s="4">
        <v>90</v>
      </c>
      <c r="AB20" s="93">
        <v>12200</v>
      </c>
      <c r="AC20" s="93">
        <v>0</v>
      </c>
      <c r="AD20" s="91">
        <v>0.1</v>
      </c>
    </row>
    <row r="21" spans="1:30" s="4" customFormat="1" ht="15.75" customHeight="1">
      <c r="A21" s="44"/>
      <c r="B21" s="53" t="s">
        <v>22</v>
      </c>
      <c r="C21" s="54"/>
      <c r="D21" s="59"/>
      <c r="E21" s="70"/>
      <c r="F21" s="88" t="s">
        <v>118</v>
      </c>
      <c r="G21" s="72">
        <f>ROUND(G$7*1.45/100,2)</f>
        <v>0</v>
      </c>
      <c r="I21" s="4">
        <f>(I19*I20)+C8-C9</f>
        <v>-12899.9</v>
      </c>
      <c r="J21" s="5">
        <f t="shared" si="2"/>
        <v>9999999999</v>
      </c>
      <c r="K21" s="5">
        <f t="shared" ref="K21:M21" si="4">IF($C$6=$I$16,CHOOSE($I$13+1,N16,N28,N40),CHOOSE($I$13+1,AB15,AB27,AB39))</f>
        <v>9999999999</v>
      </c>
      <c r="L21" s="5">
        <f t="shared" si="4"/>
        <v>9999999999</v>
      </c>
      <c r="M21" s="4">
        <f t="shared" si="4"/>
        <v>1</v>
      </c>
      <c r="N21" s="93">
        <v>12550</v>
      </c>
      <c r="O21" s="93">
        <v>0</v>
      </c>
      <c r="P21" s="91">
        <v>0.1</v>
      </c>
      <c r="R21" s="2" t="s">
        <v>30</v>
      </c>
      <c r="V21" s="27"/>
      <c r="W21" s="29" t="s">
        <v>132</v>
      </c>
      <c r="X21" s="30">
        <v>0</v>
      </c>
      <c r="Y21" s="27"/>
      <c r="AB21" s="93">
        <v>32100</v>
      </c>
      <c r="AC21" s="93">
        <v>1990</v>
      </c>
      <c r="AD21" s="91">
        <v>0.12</v>
      </c>
    </row>
    <row r="22" spans="1:30" s="4" customFormat="1" ht="15.75" customHeight="1" thickBot="1">
      <c r="A22" s="44"/>
      <c r="B22" s="57" t="s">
        <v>141</v>
      </c>
      <c r="C22" s="58" t="s">
        <v>161</v>
      </c>
      <c r="D22" s="59"/>
      <c r="E22" s="74"/>
      <c r="F22" s="89" t="s">
        <v>137</v>
      </c>
      <c r="G22" s="75">
        <f>+(G13*VLOOKUP(C24,W20:X27,2,0))</f>
        <v>0</v>
      </c>
      <c r="J22" s="5">
        <f t="shared" si="2"/>
        <v>9999999999</v>
      </c>
      <c r="K22" s="5">
        <f t="shared" ref="K22:M22" si="5">IF($C$6=$I$16,CHOOSE($I$13+1,N17,N29,N41),CHOOSE($I$13+1,AB16,AB28,AB40))</f>
        <v>9999999999</v>
      </c>
      <c r="L22" s="5">
        <f t="shared" si="5"/>
        <v>9999999999</v>
      </c>
      <c r="M22" s="4">
        <f t="shared" si="5"/>
        <v>1</v>
      </c>
      <c r="N22" s="93">
        <v>22500</v>
      </c>
      <c r="O22" s="93">
        <v>995</v>
      </c>
      <c r="P22" s="91">
        <v>0.12</v>
      </c>
      <c r="V22" s="27"/>
      <c r="W22" s="29" t="s">
        <v>133</v>
      </c>
      <c r="X22" s="30">
        <v>0</v>
      </c>
      <c r="Y22" s="27"/>
      <c r="AB22" s="93">
        <v>93250</v>
      </c>
      <c r="AC22" s="93">
        <v>9328</v>
      </c>
      <c r="AD22" s="91">
        <v>0.22</v>
      </c>
    </row>
    <row r="23" spans="1:30" s="4" customFormat="1" ht="15.75" customHeight="1">
      <c r="A23" s="44"/>
      <c r="B23" s="86" t="s">
        <v>136</v>
      </c>
      <c r="C23" s="58" t="s">
        <v>124</v>
      </c>
      <c r="D23" s="59"/>
      <c r="E23" s="76"/>
      <c r="F23" s="77"/>
      <c r="G23" s="78"/>
      <c r="H23" s="15"/>
      <c r="I23" s="15"/>
      <c r="J23" s="132" t="s">
        <v>108</v>
      </c>
      <c r="K23" s="133"/>
      <c r="L23" s="16"/>
      <c r="N23" s="93">
        <v>53075</v>
      </c>
      <c r="O23" s="93">
        <v>4664</v>
      </c>
      <c r="P23" s="91">
        <v>0.22</v>
      </c>
      <c r="Q23" s="2" t="s">
        <v>32</v>
      </c>
      <c r="R23" s="2" t="s">
        <v>33</v>
      </c>
      <c r="V23" s="27"/>
      <c r="W23" s="29" t="s">
        <v>134</v>
      </c>
      <c r="X23" s="30">
        <v>0</v>
      </c>
      <c r="Y23" s="27"/>
      <c r="AB23" s="93">
        <v>184950</v>
      </c>
      <c r="AC23" s="93">
        <v>29502</v>
      </c>
      <c r="AD23" s="91">
        <v>0.24</v>
      </c>
    </row>
    <row r="24" spans="1:30" s="4" customFormat="1" ht="15.75" customHeight="1">
      <c r="A24" s="44"/>
      <c r="B24" s="57" t="s">
        <v>145</v>
      </c>
      <c r="C24" s="58" t="s">
        <v>119</v>
      </c>
      <c r="D24" s="59"/>
      <c r="E24" s="125"/>
      <c r="F24" s="90" t="s">
        <v>154</v>
      </c>
      <c r="G24" s="126"/>
      <c r="H24" s="11"/>
      <c r="I24" s="11"/>
      <c r="J24" s="17" t="s">
        <v>109</v>
      </c>
      <c r="K24" s="18">
        <v>435</v>
      </c>
      <c r="L24" s="19" t="s">
        <v>110</v>
      </c>
      <c r="N24" s="93">
        <v>98925</v>
      </c>
      <c r="O24" s="93">
        <v>14751</v>
      </c>
      <c r="P24" s="91">
        <v>0.24</v>
      </c>
      <c r="Q24" s="2" t="s">
        <v>25</v>
      </c>
      <c r="R24" s="2" t="s">
        <v>34</v>
      </c>
      <c r="V24" s="27"/>
      <c r="W24" s="29" t="s">
        <v>142</v>
      </c>
      <c r="X24" s="30">
        <v>0</v>
      </c>
      <c r="Y24" s="27"/>
      <c r="AB24" s="93">
        <v>342050</v>
      </c>
      <c r="AC24" s="93">
        <v>67206</v>
      </c>
      <c r="AD24" s="91">
        <v>0.32</v>
      </c>
    </row>
    <row r="25" spans="1:30" s="4" customFormat="1" ht="15.75" customHeight="1">
      <c r="A25" s="44"/>
      <c r="B25" s="57" t="s">
        <v>140</v>
      </c>
      <c r="C25" s="128">
        <f>IF(C24="S",4.8%,IF(C24="J1",9%,IF(C24="J2",7%,IF(C24="J3",5%,IF(C24="J4",1%,IF(C24="J5",10%,IF(C24="P",16%,IF(C24="T",9.78%,"ERROR"))))))))</f>
        <v>4.8000000000000001E-2</v>
      </c>
      <c r="D25" s="59"/>
      <c r="E25" s="140"/>
      <c r="F25" s="141"/>
      <c r="G25" s="142"/>
      <c r="H25" s="11"/>
      <c r="I25" s="11"/>
      <c r="J25" s="17" t="s">
        <v>111</v>
      </c>
      <c r="K25" s="18">
        <v>942.5</v>
      </c>
      <c r="L25" s="19" t="s">
        <v>110</v>
      </c>
      <c r="N25" s="93">
        <v>177475</v>
      </c>
      <c r="O25" s="93">
        <v>33603</v>
      </c>
      <c r="P25" s="91">
        <v>0.32</v>
      </c>
      <c r="Q25" s="2" t="s">
        <v>35</v>
      </c>
      <c r="V25" s="27"/>
      <c r="W25" s="29" t="s">
        <v>135</v>
      </c>
      <c r="X25" s="30">
        <v>1</v>
      </c>
      <c r="Y25" s="27"/>
      <c r="AB25" s="93">
        <v>431050</v>
      </c>
      <c r="AC25" s="93">
        <v>95686</v>
      </c>
      <c r="AD25" s="91">
        <v>0.35</v>
      </c>
    </row>
    <row r="26" spans="1:30" s="4" customFormat="1" ht="15.75" customHeight="1">
      <c r="A26" s="44"/>
      <c r="B26" s="57" t="s">
        <v>122</v>
      </c>
      <c r="C26" s="65">
        <v>0</v>
      </c>
      <c r="D26" s="59"/>
      <c r="E26" s="140"/>
      <c r="F26" s="141"/>
      <c r="G26" s="142"/>
      <c r="H26" s="11"/>
      <c r="I26" s="11"/>
      <c r="J26" s="13"/>
      <c r="K26" s="13"/>
      <c r="L26" s="19"/>
      <c r="N26" s="93">
        <v>221975</v>
      </c>
      <c r="O26" s="93">
        <v>47843</v>
      </c>
      <c r="P26" s="91">
        <v>0.35</v>
      </c>
      <c r="Q26" s="2" t="s">
        <v>36</v>
      </c>
      <c r="R26" s="2" t="s">
        <v>37</v>
      </c>
      <c r="W26" s="29" t="s">
        <v>119</v>
      </c>
      <c r="X26" s="30">
        <v>1.56</v>
      </c>
      <c r="AB26" s="93">
        <v>640500</v>
      </c>
      <c r="AC26" s="93">
        <v>168993.5</v>
      </c>
      <c r="AD26" s="91">
        <v>0.37</v>
      </c>
    </row>
    <row r="27" spans="1:30" s="4" customFormat="1" ht="15.75" customHeight="1">
      <c r="A27" s="44"/>
      <c r="B27" s="73" t="s">
        <v>38</v>
      </c>
      <c r="C27" s="54"/>
      <c r="D27" s="59"/>
      <c r="E27" s="140"/>
      <c r="F27" s="141"/>
      <c r="G27" s="142"/>
      <c r="H27" s="11"/>
      <c r="I27" s="11"/>
      <c r="J27" s="130" t="s">
        <v>112</v>
      </c>
      <c r="K27" s="131"/>
      <c r="L27" s="19"/>
      <c r="N27" s="93">
        <v>326700</v>
      </c>
      <c r="O27" s="93">
        <v>84496.75</v>
      </c>
      <c r="P27" s="91">
        <v>0.37</v>
      </c>
      <c r="R27" s="2" t="s">
        <v>39</v>
      </c>
      <c r="W27" s="29" t="s">
        <v>125</v>
      </c>
      <c r="X27" s="30">
        <v>1.01</v>
      </c>
      <c r="AB27" s="93">
        <v>9999999999</v>
      </c>
      <c r="AC27" s="93">
        <v>9999999999</v>
      </c>
      <c r="AD27" s="91">
        <v>1</v>
      </c>
    </row>
    <row r="28" spans="1:30" s="4" customFormat="1" ht="15.75" customHeight="1">
      <c r="A28" s="44"/>
      <c r="B28" s="73" t="s">
        <v>155</v>
      </c>
      <c r="C28" s="54"/>
      <c r="D28" s="59"/>
      <c r="E28" s="140"/>
      <c r="F28" s="141"/>
      <c r="G28" s="142"/>
      <c r="H28" s="24">
        <v>788.97</v>
      </c>
      <c r="I28" s="13"/>
      <c r="J28" s="17" t="s">
        <v>109</v>
      </c>
      <c r="K28" s="18">
        <v>580</v>
      </c>
      <c r="L28" s="19" t="s">
        <v>110</v>
      </c>
      <c r="N28" s="93">
        <v>9999999999</v>
      </c>
      <c r="O28" s="93">
        <v>9999999999</v>
      </c>
      <c r="P28" s="91">
        <v>1</v>
      </c>
      <c r="W28" s="29"/>
      <c r="X28" s="29"/>
      <c r="Y28" s="29"/>
      <c r="AB28" s="93">
        <v>9999999999</v>
      </c>
      <c r="AC28" s="93">
        <v>9999999999</v>
      </c>
      <c r="AD28" s="91">
        <v>1</v>
      </c>
    </row>
    <row r="29" spans="1:30" s="4" customFormat="1" ht="15.75" customHeight="1">
      <c r="A29" s="44"/>
      <c r="B29" s="57" t="s">
        <v>147</v>
      </c>
      <c r="C29" s="107">
        <v>0</v>
      </c>
      <c r="D29" s="59"/>
      <c r="E29" s="140"/>
      <c r="F29" s="141"/>
      <c r="G29" s="142"/>
      <c r="H29" s="25"/>
      <c r="I29" s="13"/>
      <c r="J29" s="17" t="s">
        <v>111</v>
      </c>
      <c r="K29" s="18">
        <v>1256.6600000000001</v>
      </c>
      <c r="L29" s="19" t="s">
        <v>110</v>
      </c>
      <c r="N29" s="93">
        <v>9999999999</v>
      </c>
      <c r="O29" s="93">
        <v>9999999999</v>
      </c>
      <c r="P29" s="91">
        <v>1</v>
      </c>
      <c r="Q29" s="2" t="s">
        <v>40</v>
      </c>
      <c r="R29" s="2" t="s">
        <v>41</v>
      </c>
      <c r="AB29" s="94"/>
      <c r="AC29" s="94"/>
      <c r="AD29" s="94"/>
    </row>
    <row r="30" spans="1:30" s="4" customFormat="1" ht="15.75" customHeight="1">
      <c r="A30" s="44"/>
      <c r="B30" s="57" t="s">
        <v>148</v>
      </c>
      <c r="C30" s="107">
        <v>0</v>
      </c>
      <c r="D30" s="59"/>
      <c r="E30" s="140"/>
      <c r="F30" s="141"/>
      <c r="G30" s="142"/>
      <c r="H30" s="25">
        <f>IF(G29-K24&lt;=0,0,G29)</f>
        <v>0</v>
      </c>
      <c r="I30" s="13"/>
      <c r="J30" s="11"/>
      <c r="K30" s="11"/>
      <c r="L30" s="19"/>
      <c r="N30" s="93"/>
      <c r="O30" s="93"/>
      <c r="P30" s="91"/>
      <c r="R30" s="2" t="s">
        <v>42</v>
      </c>
      <c r="W30" s="29"/>
      <c r="X30" s="29"/>
      <c r="AB30" s="103" t="s">
        <v>1</v>
      </c>
      <c r="AC30" s="103" t="s">
        <v>104</v>
      </c>
      <c r="AD30" s="102" t="s">
        <v>170</v>
      </c>
    </row>
    <row r="31" spans="1:30" s="4" customFormat="1" ht="15.75" customHeight="1">
      <c r="A31" s="44"/>
      <c r="B31" s="57" t="s">
        <v>149</v>
      </c>
      <c r="C31" s="107">
        <v>0</v>
      </c>
      <c r="D31" s="59"/>
      <c r="E31" s="140"/>
      <c r="F31" s="141"/>
      <c r="G31" s="142"/>
      <c r="H31" s="25">
        <f>IF(G29-K28&gt;=0,0.25*G29,H30-K24)</f>
        <v>-435</v>
      </c>
      <c r="I31" s="13">
        <f>IF(H30&lt;ABS(H31),H30,H31)</f>
        <v>0</v>
      </c>
      <c r="J31" s="11"/>
      <c r="K31" s="11"/>
      <c r="L31" s="19"/>
      <c r="N31" s="103" t="s">
        <v>1</v>
      </c>
      <c r="O31" s="103" t="s">
        <v>104</v>
      </c>
      <c r="P31" s="102" t="s">
        <v>170</v>
      </c>
      <c r="R31" s="2" t="s">
        <v>43</v>
      </c>
      <c r="AB31" s="93">
        <v>0</v>
      </c>
      <c r="AC31" s="93">
        <v>0</v>
      </c>
      <c r="AD31" s="91">
        <v>0</v>
      </c>
    </row>
    <row r="32" spans="1:30" s="4" customFormat="1" ht="15.75" customHeight="1">
      <c r="A32" s="44"/>
      <c r="B32" s="57" t="s">
        <v>151</v>
      </c>
      <c r="C32" s="107">
        <v>0</v>
      </c>
      <c r="D32" s="59"/>
      <c r="E32" s="140"/>
      <c r="F32" s="141"/>
      <c r="G32" s="142"/>
      <c r="H32" s="13">
        <f>IF(G29-K28&gt;=0,0.15*G29,H30-K24)</f>
        <v>-435</v>
      </c>
      <c r="I32" s="13"/>
      <c r="J32" s="11"/>
      <c r="K32" s="11"/>
      <c r="L32" s="19"/>
      <c r="N32" s="93">
        <v>0</v>
      </c>
      <c r="O32" s="93">
        <v>0</v>
      </c>
      <c r="P32" s="91">
        <v>0</v>
      </c>
      <c r="AB32" s="93">
        <v>10200</v>
      </c>
      <c r="AC32" s="93">
        <v>0</v>
      </c>
      <c r="AD32" s="91">
        <v>0.1</v>
      </c>
    </row>
    <row r="33" spans="1:30" s="4" customFormat="1" ht="15.75" customHeight="1">
      <c r="A33" s="44"/>
      <c r="B33" s="57" t="s">
        <v>153</v>
      </c>
      <c r="C33" s="107">
        <v>0</v>
      </c>
      <c r="D33" s="59"/>
      <c r="E33" s="140"/>
      <c r="F33" s="141"/>
      <c r="G33" s="142"/>
      <c r="H33" s="13">
        <f>IF(G29-K28&gt;=0,H30-K24,0.15*G29)</f>
        <v>0</v>
      </c>
      <c r="I33" s="20">
        <f>MIN(H30,H33,ABS(H32))</f>
        <v>0</v>
      </c>
      <c r="J33" s="11"/>
      <c r="K33" s="11"/>
      <c r="L33" s="19"/>
      <c r="N33" s="93">
        <v>9400</v>
      </c>
      <c r="O33" s="93">
        <v>0</v>
      </c>
      <c r="P33" s="91">
        <v>0.1</v>
      </c>
      <c r="Q33" s="2" t="s">
        <v>44</v>
      </c>
      <c r="R33" s="2" t="s">
        <v>45</v>
      </c>
      <c r="AB33" s="93">
        <v>24400</v>
      </c>
      <c r="AC33" s="93">
        <v>1420</v>
      </c>
      <c r="AD33" s="91">
        <v>0.12</v>
      </c>
    </row>
    <row r="34" spans="1:30" s="4" customFormat="1" ht="15.75" customHeight="1">
      <c r="A34" s="44"/>
      <c r="B34" s="57" t="s">
        <v>152</v>
      </c>
      <c r="C34" s="107">
        <v>0</v>
      </c>
      <c r="D34" s="59"/>
      <c r="E34" s="140"/>
      <c r="F34" s="141"/>
      <c r="G34" s="142"/>
      <c r="H34" s="25"/>
      <c r="I34" s="13"/>
      <c r="J34" s="11"/>
      <c r="K34" s="11"/>
      <c r="L34" s="19"/>
      <c r="N34" s="93">
        <v>16500</v>
      </c>
      <c r="O34" s="93">
        <v>710</v>
      </c>
      <c r="P34" s="91">
        <v>0.12</v>
      </c>
      <c r="R34" s="2" t="s">
        <v>46</v>
      </c>
      <c r="AB34" s="93">
        <v>64400</v>
      </c>
      <c r="AC34" s="93">
        <v>6220</v>
      </c>
      <c r="AD34" s="91">
        <v>0.22</v>
      </c>
    </row>
    <row r="35" spans="1:30" s="4" customFormat="1" ht="15.75" customHeight="1">
      <c r="A35" s="44"/>
      <c r="B35" s="57" t="s">
        <v>150</v>
      </c>
      <c r="C35" s="107">
        <v>0</v>
      </c>
      <c r="D35" s="59"/>
      <c r="E35" s="140"/>
      <c r="F35" s="141"/>
      <c r="G35" s="142"/>
      <c r="H35" s="25">
        <f>IF(G29-K25&lt;=0,0,G29)</f>
        <v>0</v>
      </c>
      <c r="I35" s="13"/>
      <c r="J35" s="11"/>
      <c r="K35" s="11"/>
      <c r="L35" s="19"/>
      <c r="N35" s="93">
        <v>36500</v>
      </c>
      <c r="O35" s="93">
        <v>3110</v>
      </c>
      <c r="P35" s="91">
        <v>0.22</v>
      </c>
      <c r="AB35" s="93">
        <v>96550</v>
      </c>
      <c r="AC35" s="93">
        <v>13293</v>
      </c>
      <c r="AD35" s="91">
        <v>0.24</v>
      </c>
    </row>
    <row r="36" spans="1:30" s="4" customFormat="1" ht="15.75" customHeight="1">
      <c r="A36" s="44"/>
      <c r="B36" s="57" t="s">
        <v>146</v>
      </c>
      <c r="C36" s="108">
        <v>0</v>
      </c>
      <c r="D36" s="59"/>
      <c r="E36" s="140"/>
      <c r="F36" s="141"/>
      <c r="G36" s="142"/>
      <c r="H36" s="25">
        <f>IF(G29-K29&gt;=0,0.25*G29,H35-K25)</f>
        <v>-942.5</v>
      </c>
      <c r="I36" s="13">
        <f>IF(H35&lt;ABS(H36),H35,H36)</f>
        <v>0</v>
      </c>
      <c r="J36" s="13"/>
      <c r="K36" s="13"/>
      <c r="L36" s="19"/>
      <c r="N36" s="93">
        <v>52575</v>
      </c>
      <c r="O36" s="93">
        <v>6646.5</v>
      </c>
      <c r="P36" s="91">
        <v>0.24</v>
      </c>
      <c r="Q36" s="2" t="s">
        <v>48</v>
      </c>
      <c r="R36" s="2" t="s">
        <v>49</v>
      </c>
      <c r="AB36" s="93">
        <v>175100</v>
      </c>
      <c r="AC36" s="93">
        <v>32145</v>
      </c>
      <c r="AD36" s="91">
        <v>0.32</v>
      </c>
    </row>
    <row r="37" spans="1:30" s="4" customFormat="1" ht="15.75" customHeight="1">
      <c r="A37" s="44"/>
      <c r="B37" s="73" t="s">
        <v>156</v>
      </c>
      <c r="C37" s="81"/>
      <c r="D37" s="59"/>
      <c r="E37" s="140"/>
      <c r="F37" s="141"/>
      <c r="G37" s="142"/>
      <c r="H37" s="13">
        <f>IF(G29-K29&gt;=0,0.15*G29,H35-K25)</f>
        <v>-942.5</v>
      </c>
      <c r="I37" s="13"/>
      <c r="J37" s="13"/>
      <c r="K37" s="13"/>
      <c r="L37" s="19"/>
      <c r="N37" s="93">
        <v>91850</v>
      </c>
      <c r="O37" s="93">
        <v>16072.5</v>
      </c>
      <c r="P37" s="91">
        <v>0.32</v>
      </c>
      <c r="R37" s="2" t="s">
        <v>50</v>
      </c>
      <c r="AB37" s="93">
        <v>175100</v>
      </c>
      <c r="AC37" s="93">
        <v>46375</v>
      </c>
      <c r="AD37" s="91">
        <v>0.35</v>
      </c>
    </row>
    <row r="38" spans="1:30" s="4" customFormat="1" ht="15.75" customHeight="1" thickBot="1">
      <c r="A38" s="44"/>
      <c r="B38" s="82" t="s">
        <v>113</v>
      </c>
      <c r="C38" s="109">
        <v>0</v>
      </c>
      <c r="D38" s="59"/>
      <c r="E38" s="140"/>
      <c r="F38" s="141"/>
      <c r="G38" s="142"/>
      <c r="H38" s="22">
        <f>IF(G29-K29&gt;=0,H35-K25,0.15*G29)</f>
        <v>0</v>
      </c>
      <c r="I38" s="21">
        <f>MIN(ABS(H37),H38,H35)</f>
        <v>0</v>
      </c>
      <c r="J38" s="22"/>
      <c r="K38" s="22"/>
      <c r="L38" s="23"/>
      <c r="N38" s="93">
        <v>114100</v>
      </c>
      <c r="O38" s="93">
        <v>23192.5</v>
      </c>
      <c r="P38" s="91">
        <v>0.35</v>
      </c>
      <c r="AB38" s="93">
        <v>219600</v>
      </c>
      <c r="AC38" s="93">
        <v>156355</v>
      </c>
      <c r="AD38" s="91">
        <v>0.37</v>
      </c>
    </row>
    <row r="39" spans="1:30" s="4" customFormat="1" ht="15.75" customHeight="1">
      <c r="A39" s="44"/>
      <c r="B39" s="83" t="s">
        <v>54</v>
      </c>
      <c r="C39" s="107">
        <v>0</v>
      </c>
      <c r="D39" s="59"/>
      <c r="E39" s="140"/>
      <c r="F39" s="141"/>
      <c r="G39" s="142"/>
      <c r="N39" s="93">
        <v>271200</v>
      </c>
      <c r="O39" s="93">
        <v>78177.5</v>
      </c>
      <c r="P39" s="91">
        <v>0.37</v>
      </c>
      <c r="Q39" s="2" t="s">
        <v>51</v>
      </c>
      <c r="R39" s="2" t="s">
        <v>52</v>
      </c>
      <c r="AB39" s="93">
        <v>9999999999</v>
      </c>
      <c r="AC39" s="93">
        <v>9999999999</v>
      </c>
      <c r="AD39" s="91">
        <v>1</v>
      </c>
    </row>
    <row r="40" spans="1:30" s="4" customFormat="1" ht="15.75" customHeight="1">
      <c r="A40" s="44"/>
      <c r="B40" s="83" t="s">
        <v>54</v>
      </c>
      <c r="C40" s="107">
        <v>0</v>
      </c>
      <c r="D40" s="59"/>
      <c r="E40" s="140"/>
      <c r="F40" s="141"/>
      <c r="G40" s="142"/>
      <c r="N40" s="93">
        <v>9999999999</v>
      </c>
      <c r="O40" s="93">
        <v>9999999999</v>
      </c>
      <c r="P40" s="91">
        <v>1</v>
      </c>
      <c r="R40" s="2" t="s">
        <v>53</v>
      </c>
      <c r="AB40" s="93">
        <v>9999999999</v>
      </c>
      <c r="AC40" s="93">
        <v>9999999999</v>
      </c>
      <c r="AD40" s="91">
        <v>1</v>
      </c>
    </row>
    <row r="41" spans="1:30" s="4" customFormat="1" ht="15.75" customHeight="1">
      <c r="A41" s="44"/>
      <c r="B41" s="83" t="s">
        <v>54</v>
      </c>
      <c r="C41" s="107">
        <v>0</v>
      </c>
      <c r="D41" s="59"/>
      <c r="E41" s="140"/>
      <c r="F41" s="141"/>
      <c r="G41" s="142"/>
      <c r="N41" s="93">
        <v>9999999999</v>
      </c>
      <c r="O41" s="93">
        <v>9999999999</v>
      </c>
      <c r="P41" s="91">
        <v>1</v>
      </c>
      <c r="R41" s="2" t="s">
        <v>55</v>
      </c>
    </row>
    <row r="42" spans="1:30" s="4" customFormat="1" ht="15.75" customHeight="1">
      <c r="A42" s="44"/>
      <c r="B42" s="83" t="s">
        <v>54</v>
      </c>
      <c r="C42" s="107">
        <v>0</v>
      </c>
      <c r="D42" s="59"/>
      <c r="E42" s="140"/>
      <c r="F42" s="141"/>
      <c r="G42" s="142"/>
      <c r="N42" s="96"/>
      <c r="O42" s="96"/>
      <c r="P42" s="97"/>
      <c r="W42" s="4" t="s">
        <v>123</v>
      </c>
    </row>
    <row r="43" spans="1:30" s="4" customFormat="1" ht="15.75" customHeight="1">
      <c r="A43" s="44"/>
      <c r="B43" s="83" t="s">
        <v>54</v>
      </c>
      <c r="C43" s="107">
        <v>0</v>
      </c>
      <c r="D43" s="59"/>
      <c r="E43" s="140"/>
      <c r="F43" s="141"/>
      <c r="G43" s="142"/>
      <c r="N43" s="96"/>
      <c r="O43" s="96"/>
      <c r="P43" s="97"/>
      <c r="Q43" s="2" t="s">
        <v>56</v>
      </c>
      <c r="R43" s="2" t="s">
        <v>57</v>
      </c>
    </row>
    <row r="44" spans="1:30" s="4" customFormat="1" ht="15.75" customHeight="1">
      <c r="A44" s="44"/>
      <c r="B44" s="83" t="s">
        <v>54</v>
      </c>
      <c r="C44" s="107">
        <v>0</v>
      </c>
      <c r="D44" s="59"/>
      <c r="E44" s="140"/>
      <c r="F44" s="141"/>
      <c r="G44" s="142"/>
      <c r="I44" s="2" t="s">
        <v>6</v>
      </c>
      <c r="N44" s="103" t="s">
        <v>58</v>
      </c>
      <c r="O44" s="103" t="s">
        <v>104</v>
      </c>
      <c r="P44" s="102" t="s">
        <v>2</v>
      </c>
    </row>
    <row r="45" spans="1:30" s="4" customFormat="1" ht="15.75" customHeight="1">
      <c r="A45" s="44"/>
      <c r="B45" s="83" t="s">
        <v>54</v>
      </c>
      <c r="C45" s="107">
        <v>0</v>
      </c>
      <c r="D45" s="84"/>
      <c r="E45" s="85"/>
      <c r="F45" s="85"/>
      <c r="G45" s="106" t="s">
        <v>179</v>
      </c>
      <c r="I45" s="4">
        <f>IF((C11=I44),2,0)</f>
        <v>0</v>
      </c>
      <c r="J45" s="4">
        <f t="shared" ref="J45:J53" si="6">CHOOSE($I$48+1,N45,N55,N65,N75)</f>
        <v>0</v>
      </c>
      <c r="K45" s="4">
        <f t="shared" ref="K45:M53" si="7">CHOOSE($I$48+1,N45,N55,N65,N75)</f>
        <v>0</v>
      </c>
      <c r="L45" s="4">
        <f t="shared" si="7"/>
        <v>0</v>
      </c>
      <c r="M45" s="10">
        <f t="shared" si="7"/>
        <v>0</v>
      </c>
      <c r="N45" s="93">
        <v>0</v>
      </c>
      <c r="O45" s="93">
        <v>0</v>
      </c>
      <c r="P45" s="91">
        <v>0</v>
      </c>
      <c r="Q45" s="2" t="s">
        <v>59</v>
      </c>
      <c r="R45" s="2" t="s">
        <v>60</v>
      </c>
    </row>
    <row r="46" spans="1:30" s="4" customFormat="1" ht="15.75" customHeight="1">
      <c r="D46" s="2"/>
      <c r="I46" s="2" t="s">
        <v>6</v>
      </c>
      <c r="J46" s="4">
        <f>CHOOSE($I$48+1,N46,N56,N66,N76)</f>
        <v>7100</v>
      </c>
      <c r="K46" s="4">
        <f>CHOOSE($I$48+1,N46,N56,N66,N76)</f>
        <v>7100</v>
      </c>
      <c r="L46" s="4">
        <f>CHOOSE($I$48+1,O46,O56,O66,O76)</f>
        <v>0</v>
      </c>
      <c r="M46" s="10">
        <f>CHOOSE($I$48+1,P46,P56,P66,P76)</f>
        <v>2.2599999999999999E-2</v>
      </c>
      <c r="N46" s="93">
        <v>2975</v>
      </c>
      <c r="O46" s="93">
        <v>0</v>
      </c>
      <c r="P46" s="98">
        <v>2.2599999999999999E-2</v>
      </c>
    </row>
    <row r="47" spans="1:30" s="4" customFormat="1" ht="15.75" customHeight="1">
      <c r="D47" s="2"/>
      <c r="I47" s="4">
        <f>IF((C13=I46),1,0)</f>
        <v>1</v>
      </c>
      <c r="J47" s="4">
        <f t="shared" si="6"/>
        <v>10610</v>
      </c>
      <c r="K47" s="4">
        <f t="shared" si="7"/>
        <v>10610</v>
      </c>
      <c r="L47" s="4">
        <f t="shared" si="7"/>
        <v>79.33</v>
      </c>
      <c r="M47" s="10">
        <f t="shared" si="7"/>
        <v>3.2199999999999999E-2</v>
      </c>
      <c r="N47" s="93">
        <v>5480</v>
      </c>
      <c r="O47" s="93">
        <v>56.61</v>
      </c>
      <c r="P47" s="98">
        <v>3.2199999999999999E-2</v>
      </c>
      <c r="Q47" s="2" t="s">
        <v>61</v>
      </c>
      <c r="R47" s="2" t="s">
        <v>107</v>
      </c>
    </row>
    <row r="48" spans="1:30" s="4" customFormat="1" ht="15.75" customHeight="1">
      <c r="D48" s="2"/>
      <c r="I48" s="4">
        <f>I47</f>
        <v>1</v>
      </c>
      <c r="J48" s="4">
        <f t="shared" si="6"/>
        <v>26420</v>
      </c>
      <c r="K48" s="4">
        <f t="shared" si="7"/>
        <v>26420</v>
      </c>
      <c r="L48" s="4">
        <f t="shared" si="7"/>
        <v>588.41</v>
      </c>
      <c r="M48" s="10">
        <f t="shared" si="7"/>
        <v>4.9099999999999998E-2</v>
      </c>
      <c r="N48" s="93">
        <v>17790</v>
      </c>
      <c r="O48" s="93">
        <v>452.99</v>
      </c>
      <c r="P48" s="98">
        <v>4.9099999999999998E-2</v>
      </c>
      <c r="R48" s="2" t="s">
        <v>62</v>
      </c>
    </row>
    <row r="49" spans="4:24" s="4" customFormat="1" ht="15.75" customHeight="1">
      <c r="D49" s="2"/>
      <c r="I49" s="4">
        <f>O91/I52</f>
        <v>75.38</v>
      </c>
      <c r="J49" s="4">
        <f t="shared" si="6"/>
        <v>41100</v>
      </c>
      <c r="K49" s="4">
        <f t="shared" si="7"/>
        <v>41100</v>
      </c>
      <c r="L49" s="4">
        <f t="shared" si="7"/>
        <v>1309.2</v>
      </c>
      <c r="M49" s="10">
        <f t="shared" si="7"/>
        <v>6.2E-2</v>
      </c>
      <c r="N49" s="93">
        <v>25780</v>
      </c>
      <c r="O49" s="93">
        <v>845.3</v>
      </c>
      <c r="P49" s="98">
        <v>6.2E-2</v>
      </c>
    </row>
    <row r="50" spans="4:24" s="4" customFormat="1" ht="15.75" customHeight="1">
      <c r="I50" s="8">
        <f>IF(I51&lt;0,0,I53)</f>
        <v>0</v>
      </c>
      <c r="J50" s="4">
        <f t="shared" si="6"/>
        <v>50990</v>
      </c>
      <c r="K50" s="4">
        <f t="shared" si="7"/>
        <v>50990</v>
      </c>
      <c r="L50" s="4">
        <f t="shared" si="7"/>
        <v>1922.38</v>
      </c>
      <c r="M50" s="10">
        <f t="shared" si="7"/>
        <v>6.59E-2</v>
      </c>
      <c r="N50" s="93">
        <v>32730</v>
      </c>
      <c r="O50" s="93">
        <v>1276.2</v>
      </c>
      <c r="P50" s="98">
        <v>6.59E-2</v>
      </c>
      <c r="Q50" s="2" t="s">
        <v>63</v>
      </c>
      <c r="R50" s="2" t="s">
        <v>64</v>
      </c>
    </row>
    <row r="51" spans="4:24" s="4" customFormat="1" ht="15.75" customHeight="1">
      <c r="I51" s="4">
        <f>G5-(I49*C5)-I17-G16-G14</f>
        <v>0</v>
      </c>
      <c r="J51" s="4">
        <f t="shared" si="6"/>
        <v>67620</v>
      </c>
      <c r="K51" s="4">
        <f t="shared" si="7"/>
        <v>67620</v>
      </c>
      <c r="L51" s="4">
        <f t="shared" si="7"/>
        <v>3018.3</v>
      </c>
      <c r="M51" s="10">
        <f t="shared" si="7"/>
        <v>6.9500000000000006E-2</v>
      </c>
      <c r="N51" s="93">
        <v>61470</v>
      </c>
      <c r="O51" s="93">
        <v>3170.17</v>
      </c>
      <c r="P51" s="99">
        <v>6.9500000000000006E-2</v>
      </c>
      <c r="R51" s="2" t="s">
        <v>65</v>
      </c>
    </row>
    <row r="52" spans="4:24" s="4" customFormat="1" ht="15.75" customHeight="1">
      <c r="I52" s="9">
        <f>IF(C$11="b",26,IF(C$11="m",12,1))</f>
        <v>26</v>
      </c>
      <c r="J52" s="4">
        <f t="shared" si="6"/>
        <v>999999999</v>
      </c>
      <c r="K52" s="4">
        <f t="shared" si="7"/>
        <v>999999999</v>
      </c>
      <c r="L52" s="4">
        <f t="shared" si="7"/>
        <v>999999999</v>
      </c>
      <c r="M52" s="10">
        <f t="shared" si="7"/>
        <v>1</v>
      </c>
      <c r="N52" s="93">
        <v>999999999</v>
      </c>
      <c r="O52" s="93">
        <v>999999999</v>
      </c>
      <c r="P52" s="99">
        <v>1</v>
      </c>
      <c r="Q52" s="2" t="s">
        <v>66</v>
      </c>
      <c r="R52" s="2" t="s">
        <v>67</v>
      </c>
    </row>
    <row r="53" spans="4:24" s="4" customFormat="1" ht="15.75" customHeight="1">
      <c r="I53" s="4">
        <f>I51*I52</f>
        <v>0</v>
      </c>
      <c r="J53" s="4">
        <f t="shared" si="6"/>
        <v>999999999</v>
      </c>
      <c r="K53" s="4">
        <f t="shared" si="7"/>
        <v>999999999</v>
      </c>
      <c r="L53" s="4">
        <f t="shared" si="7"/>
        <v>999999999</v>
      </c>
      <c r="M53" s="10">
        <f t="shared" si="7"/>
        <v>1</v>
      </c>
      <c r="N53" s="93">
        <v>999999999</v>
      </c>
      <c r="O53" s="93">
        <v>999999999</v>
      </c>
      <c r="P53" s="94">
        <v>1</v>
      </c>
      <c r="R53" s="2" t="s">
        <v>68</v>
      </c>
    </row>
    <row r="54" spans="4:24" s="4" customFormat="1" ht="15.75" customHeight="1">
      <c r="N54" s="103" t="s">
        <v>69</v>
      </c>
      <c r="O54" s="103" t="s">
        <v>104</v>
      </c>
      <c r="P54" s="101" t="s">
        <v>19</v>
      </c>
      <c r="Q54" s="2" t="s">
        <v>70</v>
      </c>
      <c r="R54" s="2" t="s">
        <v>71</v>
      </c>
    </row>
    <row r="55" spans="4:24" s="4" customFormat="1" ht="15.75" customHeight="1">
      <c r="N55" s="93">
        <v>0</v>
      </c>
      <c r="O55" s="93">
        <v>0</v>
      </c>
      <c r="P55" s="91">
        <v>0</v>
      </c>
      <c r="R55" s="2" t="s">
        <v>72</v>
      </c>
    </row>
    <row r="56" spans="4:24" s="4" customFormat="1" ht="15.75" customHeight="1">
      <c r="I56" s="4">
        <f>C7/I20</f>
        <v>0</v>
      </c>
      <c r="N56" s="93">
        <v>7100</v>
      </c>
      <c r="O56" s="93">
        <v>0</v>
      </c>
      <c r="P56" s="98">
        <v>2.2599999999999999E-2</v>
      </c>
      <c r="Q56" s="2" t="s">
        <v>73</v>
      </c>
      <c r="R56" s="2" t="s">
        <v>74</v>
      </c>
    </row>
    <row r="57" spans="4:24" s="4" customFormat="1" ht="15.75" customHeight="1">
      <c r="I57" s="4">
        <f>ROUND((((((I15-VLOOKUP(I15,J13:M22,2)))*VLOOKUP(I15,J13:M22,4))+VLOOKUP(I15,J13:M22,3))/I20)+C19,2)</f>
        <v>0</v>
      </c>
      <c r="N57" s="93">
        <v>10610</v>
      </c>
      <c r="O57" s="93">
        <v>79.33</v>
      </c>
      <c r="P57" s="98">
        <v>3.2199999999999999E-2</v>
      </c>
      <c r="R57" s="2" t="s">
        <v>75</v>
      </c>
    </row>
    <row r="58" spans="4:24" s="4" customFormat="1" ht="15.75" customHeight="1">
      <c r="I58" s="4">
        <f>IF(I57&gt;I56,I56,I57)</f>
        <v>0</v>
      </c>
      <c r="N58" s="93">
        <v>26420</v>
      </c>
      <c r="O58" s="93">
        <v>588.41</v>
      </c>
      <c r="P58" s="98">
        <v>4.9099999999999998E-2</v>
      </c>
      <c r="Q58" s="2" t="s">
        <v>76</v>
      </c>
      <c r="R58" s="2" t="s">
        <v>77</v>
      </c>
    </row>
    <row r="59" spans="4:24" s="4" customFormat="1" ht="15.75" customHeight="1">
      <c r="N59" s="93">
        <v>41100</v>
      </c>
      <c r="O59" s="93">
        <v>1309.2</v>
      </c>
      <c r="P59" s="98">
        <v>6.2E-2</v>
      </c>
      <c r="R59" s="2" t="s">
        <v>72</v>
      </c>
    </row>
    <row r="60" spans="4:24" s="4" customFormat="1" ht="15.75" customHeight="1">
      <c r="N60" s="93">
        <v>50990</v>
      </c>
      <c r="O60" s="93">
        <v>1922.38</v>
      </c>
      <c r="P60" s="98">
        <v>6.59E-2</v>
      </c>
      <c r="Q60" s="2" t="s">
        <v>78</v>
      </c>
      <c r="R60" s="2" t="s">
        <v>79</v>
      </c>
    </row>
    <row r="61" spans="4:24" s="4" customFormat="1" ht="15.75" customHeight="1">
      <c r="N61" s="93">
        <v>67620</v>
      </c>
      <c r="O61" s="93">
        <v>3018.3</v>
      </c>
      <c r="P61" s="99">
        <v>6.9500000000000006E-2</v>
      </c>
      <c r="R61" s="2" t="s">
        <v>72</v>
      </c>
    </row>
    <row r="62" spans="4:24" s="4" customFormat="1" ht="15.75" customHeight="1">
      <c r="N62" s="93">
        <v>999999999</v>
      </c>
      <c r="O62" s="93">
        <v>999999999</v>
      </c>
      <c r="P62" s="99">
        <v>1</v>
      </c>
      <c r="Q62" s="2" t="s">
        <v>80</v>
      </c>
      <c r="R62" s="2" t="s">
        <v>81</v>
      </c>
    </row>
    <row r="63" spans="4:24" ht="15.75" customHeight="1">
      <c r="N63" s="93">
        <v>999999999</v>
      </c>
      <c r="O63" s="93">
        <v>999999999</v>
      </c>
      <c r="P63" s="94">
        <v>1</v>
      </c>
      <c r="R63" s="1" t="s">
        <v>82</v>
      </c>
      <c r="W63" s="4"/>
      <c r="X63" s="4"/>
    </row>
    <row r="64" spans="4:24" ht="15.75" customHeight="1">
      <c r="N64" s="95"/>
      <c r="O64" s="95"/>
      <c r="P64" s="92"/>
      <c r="R64" s="1" t="s">
        <v>83</v>
      </c>
      <c r="W64" s="4"/>
      <c r="X64" s="4"/>
    </row>
    <row r="65" spans="14:18" ht="15.75" customHeight="1">
      <c r="N65" s="93"/>
      <c r="O65" s="93"/>
      <c r="P65" s="91"/>
      <c r="R65" s="1" t="s">
        <v>84</v>
      </c>
    </row>
    <row r="66" spans="14:18" ht="15.75" customHeight="1">
      <c r="N66" s="93"/>
      <c r="O66" s="93"/>
      <c r="P66" s="98"/>
      <c r="R66" s="1" t="s">
        <v>85</v>
      </c>
    </row>
    <row r="67" spans="14:18" ht="15.75" customHeight="1">
      <c r="N67" s="93"/>
      <c r="O67" s="93"/>
      <c r="P67" s="98"/>
      <c r="R67" s="1" t="s">
        <v>86</v>
      </c>
    </row>
    <row r="68" spans="14:18" ht="15.75" customHeight="1">
      <c r="N68" s="93"/>
      <c r="O68" s="93"/>
      <c r="P68" s="98"/>
    </row>
    <row r="69" spans="14:18" ht="15.75" customHeight="1">
      <c r="N69" s="93"/>
      <c r="O69" s="93"/>
      <c r="P69" s="98"/>
      <c r="Q69" s="1" t="s">
        <v>87</v>
      </c>
      <c r="R69" s="1" t="s">
        <v>88</v>
      </c>
    </row>
    <row r="70" spans="14:18" ht="15.75" customHeight="1">
      <c r="N70" s="93"/>
      <c r="O70" s="93"/>
      <c r="P70" s="98"/>
    </row>
    <row r="71" spans="14:18" ht="15.75" customHeight="1">
      <c r="N71" s="93"/>
      <c r="O71" s="93"/>
      <c r="P71" s="99"/>
      <c r="Q71" s="1" t="s">
        <v>89</v>
      </c>
      <c r="R71" s="1" t="s">
        <v>90</v>
      </c>
    </row>
    <row r="72" spans="14:18" ht="15.75" customHeight="1">
      <c r="N72" s="93"/>
      <c r="O72" s="93"/>
      <c r="P72" s="99"/>
    </row>
    <row r="73" spans="14:18" ht="15.75" customHeight="1">
      <c r="N73" s="93"/>
      <c r="O73" s="93"/>
      <c r="P73" s="94"/>
      <c r="Q73" t="s">
        <v>95</v>
      </c>
      <c r="R73" t="s">
        <v>96</v>
      </c>
    </row>
    <row r="74" spans="14:18" ht="15.75" customHeight="1">
      <c r="N74" s="95"/>
      <c r="O74" s="95"/>
      <c r="P74" s="92"/>
      <c r="R74" t="s">
        <v>97</v>
      </c>
    </row>
    <row r="75" spans="14:18" ht="15.75" customHeight="1">
      <c r="N75" s="93"/>
      <c r="O75" s="93"/>
      <c r="P75" s="91"/>
    </row>
    <row r="76" spans="14:18" ht="15.75" customHeight="1">
      <c r="N76" s="93"/>
      <c r="O76" s="93"/>
      <c r="P76" s="98"/>
      <c r="Q76" t="s">
        <v>98</v>
      </c>
      <c r="R76" t="s">
        <v>99</v>
      </c>
    </row>
    <row r="77" spans="14:18" ht="15.75" customHeight="1">
      <c r="N77" s="93"/>
      <c r="O77" s="93"/>
      <c r="P77" s="98"/>
      <c r="R77" t="s">
        <v>100</v>
      </c>
    </row>
    <row r="78" spans="14:18" ht="15.75" customHeight="1">
      <c r="N78" s="93"/>
      <c r="O78" s="93"/>
      <c r="P78" s="98"/>
    </row>
    <row r="79" spans="14:18" ht="15.75" customHeight="1">
      <c r="N79" s="93"/>
      <c r="O79" s="93"/>
      <c r="P79" s="98"/>
    </row>
    <row r="80" spans="14:18" ht="15.75" customHeight="1">
      <c r="N80" s="93"/>
      <c r="O80" s="93"/>
      <c r="P80" s="98"/>
    </row>
    <row r="81" spans="14:16" ht="15.75" customHeight="1">
      <c r="N81" s="93"/>
      <c r="O81" s="93"/>
      <c r="P81" s="99"/>
    </row>
    <row r="82" spans="14:16" ht="15.75" customHeight="1">
      <c r="N82" s="93"/>
      <c r="O82" s="93"/>
      <c r="P82" s="99"/>
    </row>
    <row r="83" spans="14:16" ht="15.75" customHeight="1">
      <c r="N83" s="93"/>
      <c r="O83" s="93"/>
      <c r="P83" s="98"/>
    </row>
    <row r="84" spans="14:16" ht="15.75" customHeight="1">
      <c r="N84" s="94"/>
      <c r="O84" s="94"/>
      <c r="P84" s="91"/>
    </row>
    <row r="85" spans="14:16" ht="15.75" customHeight="1">
      <c r="N85" s="94"/>
      <c r="O85" s="94"/>
      <c r="P85" s="91"/>
    </row>
    <row r="86" spans="14:16" ht="15.75" customHeight="1">
      <c r="N86" s="100" t="s">
        <v>91</v>
      </c>
      <c r="O86" s="104" t="s">
        <v>92</v>
      </c>
      <c r="P86" s="91"/>
    </row>
    <row r="87" spans="14:16" ht="15.75" customHeight="1">
      <c r="N87" s="94"/>
      <c r="O87" s="94" t="s">
        <v>168</v>
      </c>
      <c r="P87" s="91" t="s">
        <v>169</v>
      </c>
    </row>
    <row r="88" spans="14:16" ht="15.75" customHeight="1">
      <c r="N88" s="94" t="s">
        <v>105</v>
      </c>
      <c r="O88" s="94">
        <v>12900</v>
      </c>
      <c r="P88" s="91">
        <v>8600</v>
      </c>
    </row>
    <row r="89" spans="14:16" ht="15.75" customHeight="1">
      <c r="N89" s="94" t="s">
        <v>93</v>
      </c>
      <c r="O89" s="94"/>
      <c r="P89" s="91"/>
    </row>
    <row r="90" spans="14:16" ht="15.75" customHeight="1">
      <c r="N90" s="94"/>
      <c r="O90" s="94"/>
      <c r="P90" s="91"/>
    </row>
    <row r="91" spans="14:16" ht="15.75" customHeight="1">
      <c r="N91" s="94" t="s">
        <v>106</v>
      </c>
      <c r="O91" s="94">
        <v>1960</v>
      </c>
      <c r="P91" s="91"/>
    </row>
    <row r="92" spans="14:16" ht="15.75" customHeight="1">
      <c r="N92" s="94" t="s">
        <v>94</v>
      </c>
      <c r="O92" s="94"/>
      <c r="P92" s="94"/>
    </row>
    <row r="93" spans="14:16" ht="15.75" customHeight="1"/>
    <row r="94" spans="14:16" ht="15.75" customHeight="1"/>
    <row r="95" spans="14:16" ht="15.75" customHeight="1"/>
  </sheetData>
  <sheetProtection sheet="1" objects="1" scenarios="1"/>
  <mergeCells count="5">
    <mergeCell ref="C2:E2"/>
    <mergeCell ref="C3:E3"/>
    <mergeCell ref="J23:K23"/>
    <mergeCell ref="J27:K27"/>
    <mergeCell ref="E25:G44"/>
  </mergeCells>
  <dataValidations count="5">
    <dataValidation type="list" allowBlank="1" showInputMessage="1" showErrorMessage="1" sqref="C24" xr:uid="{00000000-0002-0000-0100-000000000000}">
      <formula1>"S,T,P,J1,J2,J3,J4,J5"</formula1>
    </dataValidation>
    <dataValidation type="list" allowBlank="1" showInputMessage="1" showErrorMessage="1" sqref="C22 C6" xr:uid="{00000000-0002-0000-0100-000001000000}">
      <formula1>"Y,N"</formula1>
    </dataValidation>
    <dataValidation type="list" allowBlank="1" showInputMessage="1" showErrorMessage="1" sqref="C11" xr:uid="{00000000-0002-0000-0100-000002000000}">
      <formula1>"B, M"</formula1>
    </dataValidation>
    <dataValidation type="list" allowBlank="1" showInputMessage="1" showErrorMessage="1" sqref="C13" xr:uid="{00000000-0002-0000-0100-000003000000}">
      <formula1>"S, M"</formula1>
    </dataValidation>
    <dataValidation type="list" allowBlank="1" showInputMessage="1" showErrorMessage="1" sqref="C14" xr:uid="{00000000-0002-0000-0100-000004000000}">
      <formula1>"J, A, H"</formula1>
    </dataValidation>
  </dataValidation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PayCalc old W4</vt:lpstr>
      <vt:lpstr>PayCalc new W4</vt:lpstr>
      <vt:lpstr>FEDERAL_J_Single__A_Married__H_HOH</vt:lpstr>
      <vt:lpstr>GRW</vt:lpstr>
      <vt:lpstr>LookupRetirement</vt:lpstr>
      <vt:lpstr>'PayCalc new W4'!Print_Area</vt:lpstr>
      <vt:lpstr>'PayCalc old W4'!Print_Area</vt:lpstr>
      <vt:lpstr>Print_Area_MI</vt:lpstr>
      <vt:lpstr>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creator>Preferred Customer</dc:creator>
  <cp:lastModifiedBy>Allie Smith</cp:lastModifiedBy>
  <cp:lastPrinted>2020-01-17T14:25:42Z</cp:lastPrinted>
  <dcterms:created xsi:type="dcterms:W3CDTF">1997-11-14T16:41:47Z</dcterms:created>
  <dcterms:modified xsi:type="dcterms:W3CDTF">2021-02-26T17:25:11Z</dcterms:modified>
</cp:coreProperties>
</file>