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15" windowHeight="6060" activeTab="0"/>
  </bookViews>
  <sheets>
    <sheet name="PAYCL2011" sheetId="1" r:id="rId1"/>
  </sheets>
  <definedNames>
    <definedName name="GRW">'PAYCL2011'!$G$5</definedName>
    <definedName name="_xlnm.Print_Area" localSheetId="0">'PAYCL2011'!$A$1:$G$45</definedName>
    <definedName name="Print_Area_MI">'PAYCL2011'!$B$1:$H$29</definedName>
    <definedName name="TS">'PAYCL2011'!$C$17</definedName>
  </definedNames>
  <calcPr fullCalcOnLoad="1"/>
</workbook>
</file>

<file path=xl/sharedStrings.xml><?xml version="1.0" encoding="utf-8"?>
<sst xmlns="http://schemas.openxmlformats.org/spreadsheetml/2006/main" count="180" uniqueCount="146">
  <si>
    <t>Tax</t>
  </si>
  <si>
    <t>Tables</t>
  </si>
  <si>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</si>
  <si>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</si>
  <si>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</si>
  <si>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</si>
  <si>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</si>
  <si>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</si>
  <si>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</si>
  <si>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</si>
  <si>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</si>
  <si>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</si>
  <si>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</si>
  <si>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</si>
  <si>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</si>
  <si>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</si>
  <si>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</si>
  <si>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</si>
  <si>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</si>
  <si>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</si>
  <si>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</si>
  <si>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</si>
  <si>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</si>
  <si>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</si>
  <si>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</si>
  <si>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Rate</t>
  </si>
  <si>
    <t>G4 thru G8</t>
  </si>
  <si>
    <t xml:space="preserve">These cells compare entries for pay cycle and marital </t>
  </si>
  <si>
    <t>Units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</si>
  <si>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</si>
  <si>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</si>
  <si>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</si>
  <si>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</si>
  <si>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</si>
  <si>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Add FIT</t>
  </si>
  <si>
    <t>explained in the next group.</t>
  </si>
  <si>
    <t>Add SIT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</si>
  <si>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</si>
  <si>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</si>
  <si>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</si>
  <si>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</si>
  <si>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</si>
  <si>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</si>
  <si>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</si>
  <si>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 xml:space="preserve">  Tax Sheltered</t>
  </si>
  <si>
    <t>Deductions</t>
  </si>
  <si>
    <t>determine the proper amount to allow for each exemption.</t>
  </si>
  <si>
    <t xml:space="preserve">   (Y or N)</t>
  </si>
  <si>
    <t>G10 and G45</t>
  </si>
  <si>
    <t xml:space="preserve">This cell computes taxable wages by taking total gross </t>
  </si>
  <si>
    <t>DCP $ Withheld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</si>
  <si>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</si>
  <si>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</si>
  <si>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</si>
  <si>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</si>
  <si>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Health(Sec 125)</t>
  </si>
  <si>
    <t>and then determines the amount for use in cell G10 &amp; G45.</t>
  </si>
  <si>
    <t>Dental(Sec 125)</t>
  </si>
  <si>
    <t>State Contribution</t>
  </si>
  <si>
    <t>E11</t>
  </si>
  <si>
    <t>Comutes total gross by multiplying the values enter in</t>
  </si>
  <si>
    <t>Dep Cr(Sec 125)</t>
  </si>
  <si>
    <t>column B.</t>
  </si>
  <si>
    <t>Life</t>
  </si>
  <si>
    <t>E14</t>
  </si>
  <si>
    <t xml:space="preserve">Computes federal tax withholding by using the table </t>
  </si>
  <si>
    <t>Credit Un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</si>
  <si>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</si>
  <si>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</si>
  <si>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</si>
  <si>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</si>
  <si>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</si>
  <si>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</si>
  <si>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</si>
  <si>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</si>
  <si>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</si>
  <si>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</si>
  <si>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</si>
  <si>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</si>
  <si>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</si>
  <si>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</si>
  <si>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</si>
  <si>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</si>
  <si>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</si>
  <si>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</si>
  <si>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</si>
  <si>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</si>
  <si>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</si>
  <si>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</si>
  <si>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</si>
  <si>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</si>
  <si>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</si>
  <si>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</si>
  <si>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</si>
  <si>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</si>
  <si>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</si>
  <si>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</si>
  <si>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</si>
  <si>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</si>
  <si>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</si>
  <si>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</si>
  <si>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</si>
  <si>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</si>
  <si>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</si>
  <si>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</si>
  <si>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Vision(Sec125)</t>
  </si>
  <si>
    <t>Parking(Sec 132)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</si>
  <si>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</si>
  <si>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</si>
  <si>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</si>
  <si>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</si>
  <si>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</si>
  <si>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</si>
  <si>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</si>
  <si>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</si>
  <si>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</si>
  <si>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</si>
  <si>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</si>
  <si>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</si>
  <si>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</si>
  <si>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</si>
  <si>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</si>
  <si>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</si>
  <si>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</si>
  <si>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</si>
  <si>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</si>
  <si>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</si>
  <si>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</si>
  <si>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</si>
  <si>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Excludable</t>
  </si>
  <si>
    <t xml:space="preserve">                   % Withheld</t>
  </si>
  <si>
    <t>Non-Excludable</t>
  </si>
  <si>
    <t>Child Support</t>
  </si>
  <si>
    <t>Optional Deductions</t>
  </si>
  <si>
    <t>Tax Sheltered Deductions</t>
  </si>
  <si>
    <t xml:space="preserve">Net Take Home Pay </t>
  </si>
  <si>
    <t>Med Rm (Sect 125)</t>
  </si>
  <si>
    <t>Payroll Calculation for 2011</t>
  </si>
  <si>
    <t>Employee Name</t>
  </si>
  <si>
    <t>Address Book #</t>
  </si>
  <si>
    <r>
      <t xml:space="preserve">       ( </t>
    </r>
    <r>
      <rPr>
        <b/>
        <sz val="10"/>
        <rFont val="Arial MT"/>
        <family val="0"/>
      </rPr>
      <t>S</t>
    </r>
    <r>
      <rPr>
        <sz val="10"/>
        <rFont val="Arial MT"/>
        <family val="0"/>
      </rPr>
      <t xml:space="preserve"> - Single or </t>
    </r>
    <r>
      <rPr>
        <b/>
        <sz val="10"/>
        <rFont val="Arial MT"/>
        <family val="0"/>
      </rPr>
      <t>M</t>
    </r>
    <r>
      <rPr>
        <sz val="10"/>
        <rFont val="Arial MT"/>
        <family val="0"/>
      </rPr>
      <t xml:space="preserve"> - Married )</t>
    </r>
  </si>
  <si>
    <t>Federal Soc Sec</t>
  </si>
  <si>
    <t>Federal Medicare</t>
  </si>
  <si>
    <t>b</t>
  </si>
  <si>
    <t>updateed 20110614</t>
  </si>
  <si>
    <r>
      <rPr>
        <b/>
        <sz val="10"/>
        <rFont val="Arial MT"/>
        <family val="0"/>
      </rPr>
      <t>B</t>
    </r>
    <r>
      <rPr>
        <sz val="10"/>
        <rFont val="Arial MT"/>
        <family val="0"/>
      </rPr>
      <t xml:space="preserve">-bi-weekly, </t>
    </r>
    <r>
      <rPr>
        <b/>
        <sz val="10"/>
        <rFont val="Arial MT"/>
        <family val="0"/>
      </rPr>
      <t>M</t>
    </r>
    <r>
      <rPr>
        <sz val="10"/>
        <rFont val="Arial MT"/>
        <family val="0"/>
      </rPr>
      <t>-monthly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</si>
</sst>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General_)"/>
    <numFmt numFmtId="167" formatCode="#,##0.000_);\(#,##0.000\)"/>
    <numFmt numFmtId="168" formatCode="0.00_)"/>
    <numFmt numFmtId="169" formatCode="0.0000_)"/>
    <numFmt numFmtId="170" formatCode="0.0000"/>
    <numFmt numFmtId="171" formatCode="#,##0.00000_);\(#,##0.00000\)"/>
    <numFmt numFmtId="172" formatCode="&quot;$&quot;#,##0.00"/>
    <numFmt numFmtId="173" formatCode="&quot;$&quot;#,##0.000_);\(&quot;$&quot;#,##0.000\)"/>
  </numFmts>
  <fonts count="4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/>
      <top style="dashDot"/>
      <bottom style="dashDot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168" fontId="0" fillId="0" borderId="0" xfId="0" applyAlignment="1">
      <alignment/>
    </xf>
    <xf numFmtId="168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8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/>
      <protection/>
    </xf>
    <xf numFmtId="168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/>
      <protection/>
    </xf>
    <xf numFmtId="168" fontId="5" fillId="4" borderId="0" xfId="0" applyFont="1" applyFill="1" applyBorder="1" applyAlignment="1">
      <alignment/>
    </xf>
    <xf numFmtId="168" fontId="5" fillId="0" borderId="0" xfId="0" applyFont="1" applyBorder="1" applyAlignment="1">
      <alignment/>
    </xf>
    <xf numFmtId="0" fontId="5" fillId="4" borderId="0" xfId="0" applyNumberFormat="1" applyFont="1" applyFill="1" applyBorder="1" applyAlignment="1">
      <alignment/>
    </xf>
    <xf numFmtId="168" fontId="0" fillId="0" borderId="0" xfId="0" applyAlignment="1">
      <alignment horizontal="right"/>
    </xf>
    <xf numFmtId="168" fontId="5" fillId="4" borderId="10" xfId="0" applyFont="1" applyFill="1" applyBorder="1" applyAlignment="1">
      <alignment/>
    </xf>
    <xf numFmtId="168" fontId="5" fillId="4" borderId="11" xfId="0" applyFont="1" applyFill="1" applyBorder="1" applyAlignment="1">
      <alignment/>
    </xf>
    <xf numFmtId="0" fontId="5" fillId="10" borderId="12" xfId="0" applyNumberFormat="1" applyFont="1" applyFill="1" applyBorder="1" applyAlignment="1">
      <alignment horizontal="right"/>
    </xf>
    <xf numFmtId="172" fontId="5" fillId="10" borderId="12" xfId="0" applyNumberFormat="1" applyFont="1" applyFill="1" applyBorder="1" applyAlignment="1">
      <alignment/>
    </xf>
    <xf numFmtId="168" fontId="5" fillId="4" borderId="13" xfId="0" applyFont="1" applyFill="1" applyBorder="1" applyAlignment="1">
      <alignment/>
    </xf>
    <xf numFmtId="7" fontId="5" fillId="4" borderId="0" xfId="0" applyNumberFormat="1" applyFont="1" applyFill="1" applyBorder="1" applyAlignment="1">
      <alignment/>
    </xf>
    <xf numFmtId="7" fontId="5" fillId="4" borderId="14" xfId="0" applyNumberFormat="1" applyFont="1" applyFill="1" applyBorder="1" applyAlignment="1">
      <alignment/>
    </xf>
    <xf numFmtId="0" fontId="5" fillId="4" borderId="14" xfId="0" applyNumberFormat="1" applyFont="1" applyFill="1" applyBorder="1" applyAlignment="1">
      <alignment/>
    </xf>
    <xf numFmtId="168" fontId="5" fillId="4" borderId="15" xfId="0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7" fontId="5" fillId="4" borderId="0" xfId="0" applyNumberFormat="1" applyFont="1" applyFill="1" applyBorder="1" applyAlignment="1" applyProtection="1">
      <alignment/>
      <protection/>
    </xf>
    <xf numFmtId="168" fontId="0" fillId="0" borderId="13" xfId="0" applyFill="1" applyBorder="1" applyAlignment="1" applyProtection="1">
      <alignment/>
      <protection locked="0"/>
    </xf>
    <xf numFmtId="168" fontId="0" fillId="33" borderId="16" xfId="0" applyFill="1" applyBorder="1" applyAlignment="1" applyProtection="1">
      <alignment/>
      <protection locked="0"/>
    </xf>
    <xf numFmtId="168" fontId="0" fillId="33" borderId="17" xfId="0" applyFill="1" applyBorder="1" applyAlignment="1" applyProtection="1" quotePrefix="1">
      <alignment horizontal="left"/>
      <protection locked="0"/>
    </xf>
    <xf numFmtId="168" fontId="0" fillId="33" borderId="17" xfId="0" applyFill="1" applyBorder="1" applyAlignment="1" applyProtection="1">
      <alignment/>
      <protection locked="0"/>
    </xf>
    <xf numFmtId="168" fontId="5" fillId="33" borderId="18" xfId="0" applyFont="1" applyFill="1" applyBorder="1" applyAlignment="1" applyProtection="1">
      <alignment horizontal="left"/>
      <protection locked="0"/>
    </xf>
    <xf numFmtId="168" fontId="0" fillId="0" borderId="0" xfId="0" applyAlignment="1" applyProtection="1">
      <alignment/>
      <protection locked="0"/>
    </xf>
    <xf numFmtId="168" fontId="0" fillId="0" borderId="19" xfId="0" applyBorder="1" applyAlignment="1" applyProtection="1">
      <alignment/>
      <protection locked="0"/>
    </xf>
    <xf numFmtId="168" fontId="0" fillId="0" borderId="20" xfId="0" applyBorder="1" applyAlignment="1" applyProtection="1">
      <alignment/>
      <protection locked="0"/>
    </xf>
    <xf numFmtId="168" fontId="0" fillId="0" borderId="10" xfId="0" applyBorder="1" applyAlignment="1" applyProtection="1">
      <alignment/>
      <protection locked="0"/>
    </xf>
    <xf numFmtId="168" fontId="0" fillId="0" borderId="11" xfId="0" applyBorder="1" applyAlignment="1" applyProtection="1">
      <alignment/>
      <protection locked="0"/>
    </xf>
    <xf numFmtId="168" fontId="0" fillId="0" borderId="21" xfId="0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68" fontId="0" fillId="0" borderId="22" xfId="0" applyBorder="1" applyAlignment="1" applyProtection="1">
      <alignment/>
      <protection locked="0"/>
    </xf>
    <xf numFmtId="168" fontId="0" fillId="0" borderId="0" xfId="0" applyBorder="1" applyAlignment="1" applyProtection="1">
      <alignment/>
      <protection locked="0"/>
    </xf>
    <xf numFmtId="168" fontId="0" fillId="0" borderId="13" xfId="0" applyBorder="1" applyAlignment="1" applyProtection="1">
      <alignment/>
      <protection locked="0"/>
    </xf>
    <xf numFmtId="168" fontId="5" fillId="0" borderId="0" xfId="0" applyFont="1" applyAlignment="1" applyProtection="1">
      <alignment/>
      <protection locked="0"/>
    </xf>
    <xf numFmtId="168" fontId="5" fillId="0" borderId="23" xfId="0" applyFont="1" applyBorder="1" applyAlignment="1" applyProtection="1">
      <alignment/>
      <protection locked="0"/>
    </xf>
    <xf numFmtId="168" fontId="5" fillId="0" borderId="14" xfId="0" applyFont="1" applyBorder="1" applyAlignment="1" applyProtection="1">
      <alignment/>
      <protection locked="0"/>
    </xf>
    <xf numFmtId="168" fontId="5" fillId="0" borderId="15" xfId="0" applyFont="1" applyBorder="1" applyAlignment="1" applyProtection="1">
      <alignment/>
      <protection locked="0"/>
    </xf>
    <xf numFmtId="168" fontId="6" fillId="10" borderId="24" xfId="0" applyFont="1" applyFill="1" applyBorder="1" applyAlignment="1" applyProtection="1">
      <alignment horizontal="left"/>
      <protection locked="0"/>
    </xf>
    <xf numFmtId="165" fontId="5" fillId="10" borderId="24" xfId="0" applyNumberFormat="1" applyFont="1" applyFill="1" applyBorder="1" applyAlignment="1" applyProtection="1">
      <alignment/>
      <protection locked="0"/>
    </xf>
    <xf numFmtId="168" fontId="0" fillId="14" borderId="12" xfId="0" applyFill="1" applyBorder="1" applyAlignment="1" applyProtection="1">
      <alignment/>
      <protection locked="0"/>
    </xf>
    <xf numFmtId="168" fontId="5" fillId="5" borderId="0" xfId="0" applyFont="1" applyFill="1" applyBorder="1" applyAlignment="1" applyProtection="1">
      <alignment/>
      <protection locked="0"/>
    </xf>
    <xf numFmtId="168" fontId="5" fillId="5" borderId="0" xfId="0" applyFont="1" applyFill="1" applyBorder="1" applyAlignment="1" applyProtection="1">
      <alignment horizontal="left"/>
      <protection locked="0"/>
    </xf>
    <xf numFmtId="7" fontId="5" fillId="5" borderId="25" xfId="0" applyNumberFormat="1" applyFont="1" applyFill="1" applyBorder="1" applyAlignment="1" applyProtection="1">
      <alignment/>
      <protection locked="0"/>
    </xf>
    <xf numFmtId="168" fontId="6" fillId="19" borderId="26" xfId="0" applyFont="1" applyFill="1" applyBorder="1" applyAlignment="1" applyProtection="1">
      <alignment horizontal="left"/>
      <protection locked="0"/>
    </xf>
    <xf numFmtId="168" fontId="5" fillId="19" borderId="26" xfId="0" applyFont="1" applyFill="1" applyBorder="1" applyAlignment="1" applyProtection="1">
      <alignment/>
      <protection locked="0"/>
    </xf>
    <xf numFmtId="168" fontId="0" fillId="14" borderId="12" xfId="0" applyFill="1" applyBorder="1" applyAlignment="1" applyProtection="1">
      <alignment horizontal="left"/>
      <protection locked="0"/>
    </xf>
    <xf numFmtId="39" fontId="5" fillId="5" borderId="27" xfId="0" applyNumberFormat="1" applyFont="1" applyFill="1" applyBorder="1" applyAlignment="1" applyProtection="1">
      <alignment/>
      <protection locked="0"/>
    </xf>
    <xf numFmtId="168" fontId="5" fillId="10" borderId="26" xfId="0" applyFont="1" applyFill="1" applyBorder="1" applyAlignment="1" applyProtection="1">
      <alignment horizontal="left"/>
      <protection locked="0"/>
    </xf>
    <xf numFmtId="168" fontId="5" fillId="10" borderId="26" xfId="0" applyFont="1" applyFill="1" applyBorder="1" applyAlignment="1" applyProtection="1">
      <alignment horizontal="right"/>
      <protection locked="0"/>
    </xf>
    <xf numFmtId="168" fontId="5" fillId="14" borderId="12" xfId="0" applyFont="1" applyFill="1" applyBorder="1" applyAlignment="1" applyProtection="1">
      <alignment horizontal="left"/>
      <protection locked="0"/>
    </xf>
    <xf numFmtId="168" fontId="5" fillId="5" borderId="28" xfId="0" applyFont="1" applyFill="1" applyBorder="1" applyAlignment="1" applyProtection="1">
      <alignment/>
      <protection locked="0"/>
    </xf>
    <xf numFmtId="168" fontId="5" fillId="5" borderId="29" xfId="0" applyFont="1" applyFill="1" applyBorder="1" applyAlignment="1" applyProtection="1">
      <alignment horizontal="left"/>
      <protection locked="0"/>
    </xf>
    <xf numFmtId="39" fontId="5" fillId="5" borderId="30" xfId="0" applyNumberFormat="1" applyFont="1" applyFill="1" applyBorder="1" applyAlignment="1" applyProtection="1">
      <alignment/>
      <protection locked="0"/>
    </xf>
    <xf numFmtId="2" fontId="5" fillId="5" borderId="27" xfId="0" applyNumberFormat="1" applyFont="1" applyFill="1" applyBorder="1" applyAlignment="1" applyProtection="1">
      <alignment/>
      <protection locked="0"/>
    </xf>
    <xf numFmtId="173" fontId="5" fillId="10" borderId="26" xfId="0" applyNumberFormat="1" applyFont="1" applyFill="1" applyBorder="1" applyAlignment="1" applyProtection="1">
      <alignment/>
      <protection locked="0"/>
    </xf>
    <xf numFmtId="168" fontId="5" fillId="10" borderId="26" xfId="0" applyFont="1" applyFill="1" applyBorder="1" applyAlignment="1" applyProtection="1">
      <alignment/>
      <protection locked="0"/>
    </xf>
    <xf numFmtId="168" fontId="5" fillId="5" borderId="0" xfId="0" applyFont="1" applyFill="1" applyAlignment="1" applyProtection="1">
      <alignment/>
      <protection locked="0"/>
    </xf>
    <xf numFmtId="172" fontId="5" fillId="10" borderId="26" xfId="0" applyNumberFormat="1" applyFont="1" applyFill="1" applyBorder="1" applyAlignment="1" applyProtection="1">
      <alignment/>
      <protection locked="0"/>
    </xf>
    <xf numFmtId="2" fontId="5" fillId="5" borderId="30" xfId="0" applyNumberFormat="1" applyFont="1" applyFill="1" applyBorder="1" applyAlignment="1" applyProtection="1">
      <alignment/>
      <protection locked="0"/>
    </xf>
    <xf numFmtId="168" fontId="5" fillId="5" borderId="27" xfId="0" applyFont="1" applyFill="1" applyBorder="1" applyAlignment="1" applyProtection="1">
      <alignment/>
      <protection locked="0"/>
    </xf>
    <xf numFmtId="168" fontId="5" fillId="19" borderId="31" xfId="0" applyFont="1" applyFill="1" applyBorder="1" applyAlignment="1" applyProtection="1">
      <alignment/>
      <protection locked="0"/>
    </xf>
    <xf numFmtId="168" fontId="6" fillId="19" borderId="32" xfId="0" applyFont="1" applyFill="1" applyBorder="1" applyAlignment="1" applyProtection="1">
      <alignment horizontal="left"/>
      <protection locked="0"/>
    </xf>
    <xf numFmtId="7" fontId="6" fillId="19" borderId="33" xfId="0" applyNumberFormat="1" applyFont="1" applyFill="1" applyBorder="1" applyAlignment="1" applyProtection="1">
      <alignment/>
      <protection locked="0"/>
    </xf>
    <xf numFmtId="168" fontId="5" fillId="10" borderId="26" xfId="0" applyFont="1" applyFill="1" applyBorder="1" applyAlignment="1" applyProtection="1">
      <alignment horizontal="center"/>
      <protection locked="0"/>
    </xf>
    <xf numFmtId="168" fontId="5" fillId="19" borderId="34" xfId="0" applyFont="1" applyFill="1" applyBorder="1" applyAlignment="1" applyProtection="1">
      <alignment/>
      <protection locked="0"/>
    </xf>
    <xf numFmtId="168" fontId="6" fillId="19" borderId="35" xfId="0" applyFont="1" applyFill="1" applyBorder="1" applyAlignment="1" applyProtection="1">
      <alignment horizontal="right"/>
      <protection locked="0"/>
    </xf>
    <xf numFmtId="168" fontId="5" fillId="19" borderId="36" xfId="0" applyFont="1" applyFill="1" applyBorder="1" applyAlignment="1" applyProtection="1">
      <alignment/>
      <protection locked="0"/>
    </xf>
    <xf numFmtId="168" fontId="6" fillId="19" borderId="26" xfId="0" applyFont="1" applyFill="1" applyBorder="1" applyAlignment="1" applyProtection="1">
      <alignment horizontal="center"/>
      <protection locked="0"/>
    </xf>
    <xf numFmtId="168" fontId="5" fillId="7" borderId="0" xfId="0" applyFont="1" applyFill="1" applyBorder="1" applyAlignment="1" applyProtection="1">
      <alignment/>
      <protection locked="0"/>
    </xf>
    <xf numFmtId="168" fontId="5" fillId="7" borderId="0" xfId="0" applyFont="1" applyFill="1" applyBorder="1" applyAlignment="1" applyProtection="1">
      <alignment horizontal="left"/>
      <protection locked="0"/>
    </xf>
    <xf numFmtId="168" fontId="5" fillId="7" borderId="27" xfId="0" applyFont="1" applyFill="1" applyBorder="1" applyAlignment="1" applyProtection="1">
      <alignment/>
      <protection locked="0"/>
    </xf>
    <xf numFmtId="168" fontId="5" fillId="7" borderId="0" xfId="0" applyFont="1" applyFill="1" applyAlignment="1" applyProtection="1">
      <alignment/>
      <protection locked="0"/>
    </xf>
    <xf numFmtId="168" fontId="5" fillId="7" borderId="37" xfId="0" applyFont="1" applyFill="1" applyBorder="1" applyAlignment="1" applyProtection="1">
      <alignment/>
      <protection locked="0"/>
    </xf>
    <xf numFmtId="168" fontId="5" fillId="7" borderId="38" xfId="0" applyFont="1" applyFill="1" applyBorder="1" applyAlignment="1" applyProtection="1">
      <alignment horizontal="left"/>
      <protection locked="0"/>
    </xf>
    <xf numFmtId="168" fontId="5" fillId="7" borderId="39" xfId="0" applyFont="1" applyFill="1" applyBorder="1" applyAlignment="1" applyProtection="1">
      <alignment/>
      <protection locked="0"/>
    </xf>
    <xf numFmtId="168" fontId="5" fillId="14" borderId="40" xfId="0" applyFont="1" applyFill="1" applyBorder="1" applyAlignment="1" applyProtection="1">
      <alignment horizontal="left"/>
      <protection locked="0"/>
    </xf>
    <xf numFmtId="168" fontId="5" fillId="5" borderId="40" xfId="0" applyFont="1" applyFill="1" applyBorder="1" applyAlignment="1" applyProtection="1">
      <alignment/>
      <protection locked="0"/>
    </xf>
    <xf numFmtId="0" fontId="6" fillId="5" borderId="0" xfId="0" applyNumberFormat="1" applyFont="1" applyFill="1" applyBorder="1" applyAlignment="1" applyProtection="1">
      <alignment horizontal="center"/>
      <protection locked="0"/>
    </xf>
    <xf numFmtId="0" fontId="5" fillId="5" borderId="27" xfId="0" applyNumberFormat="1" applyFont="1" applyFill="1" applyBorder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/>
      <protection locked="0"/>
    </xf>
    <xf numFmtId="172" fontId="5" fillId="5" borderId="27" xfId="0" applyNumberFormat="1" applyFont="1" applyFill="1" applyBorder="1" applyAlignment="1" applyProtection="1">
      <alignment/>
      <protection locked="0"/>
    </xf>
    <xf numFmtId="172" fontId="5" fillId="5" borderId="27" xfId="55" applyNumberFormat="1" applyFont="1" applyFill="1" applyBorder="1" applyProtection="1">
      <alignment/>
      <protection locked="0"/>
    </xf>
    <xf numFmtId="172" fontId="5" fillId="19" borderId="26" xfId="0" applyNumberFormat="1" applyFont="1" applyFill="1" applyBorder="1" applyAlignment="1" applyProtection="1">
      <alignment/>
      <protection locked="0"/>
    </xf>
    <xf numFmtId="7" fontId="5" fillId="5" borderId="27" xfId="0" applyNumberFormat="1" applyFont="1" applyFill="1" applyBorder="1" applyAlignment="1" applyProtection="1">
      <alignment/>
      <protection locked="0"/>
    </xf>
    <xf numFmtId="168" fontId="5" fillId="5" borderId="26" xfId="0" applyFont="1" applyFill="1" applyBorder="1" applyAlignment="1" applyProtection="1">
      <alignment/>
      <protection locked="0"/>
    </xf>
    <xf numFmtId="172" fontId="5" fillId="5" borderId="26" xfId="0" applyNumberFormat="1" applyFont="1" applyFill="1" applyBorder="1" applyAlignment="1" applyProtection="1">
      <alignment/>
      <protection locked="0"/>
    </xf>
    <xf numFmtId="172" fontId="5" fillId="10" borderId="26" xfId="0" applyNumberFormat="1" applyFont="1" applyFill="1" applyBorder="1" applyAlignment="1" applyProtection="1">
      <alignment horizontal="right"/>
      <protection locked="0"/>
    </xf>
    <xf numFmtId="168" fontId="5" fillId="5" borderId="27" xfId="0" applyFont="1" applyFill="1" applyBorder="1" applyAlignment="1" applyProtection="1">
      <alignment horizontal="right"/>
      <protection locked="0"/>
    </xf>
    <xf numFmtId="168" fontId="5" fillId="14" borderId="24" xfId="0" applyFont="1" applyFill="1" applyBorder="1" applyAlignment="1" applyProtection="1">
      <alignment horizontal="left"/>
      <protection locked="0"/>
    </xf>
    <xf numFmtId="168" fontId="5" fillId="5" borderId="38" xfId="0" applyFont="1" applyFill="1" applyBorder="1" applyAlignment="1" applyProtection="1">
      <alignment/>
      <protection locked="0"/>
    </xf>
    <xf numFmtId="168" fontId="7" fillId="5" borderId="39" xfId="0" applyFont="1" applyFill="1" applyBorder="1" applyAlignment="1" applyProtection="1">
      <alignment horizontal="center"/>
      <protection locked="0"/>
    </xf>
    <xf numFmtId="168" fontId="5" fillId="0" borderId="0" xfId="0" applyFont="1" applyAlignment="1" applyProtection="1">
      <alignment horizontal="left"/>
      <protection locked="0"/>
    </xf>
    <xf numFmtId="0" fontId="5" fillId="34" borderId="40" xfId="0" applyNumberFormat="1" applyFont="1" applyFill="1" applyBorder="1" applyAlignment="1">
      <alignment horizontal="center"/>
    </xf>
    <xf numFmtId="0" fontId="5" fillId="34" borderId="27" xfId="0" applyNumberFormat="1" applyFont="1" applyFill="1" applyBorder="1" applyAlignment="1">
      <alignment horizontal="center"/>
    </xf>
    <xf numFmtId="0" fontId="5" fillId="34" borderId="41" xfId="0" applyNumberFormat="1" applyFont="1" applyFill="1" applyBorder="1" applyAlignment="1">
      <alignment horizontal="center"/>
    </xf>
    <xf numFmtId="168" fontId="5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YCL2009 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zoomScalePageLayoutView="0" workbookViewId="0" topLeftCell="A1">
      <selection activeCell="B7" sqref="B7"/>
    </sheetView>
  </sheetViews>
  <sheetFormatPr defaultColWidth="8.88671875" defaultRowHeight="15"/>
  <cols>
    <col min="1" max="1" width="4.99609375" style="40" customWidth="1"/>
    <col min="2" max="2" width="24.10546875" style="40" customWidth="1"/>
    <col min="3" max="3" width="13.10546875" style="40" customWidth="1"/>
    <col min="4" max="4" width="1.77734375" style="40" customWidth="1"/>
    <col min="5" max="5" width="4.88671875" style="40" customWidth="1"/>
    <col min="6" max="6" width="16.99609375" style="40" customWidth="1"/>
    <col min="7" max="7" width="15.3359375" style="40" customWidth="1"/>
    <col min="8" max="8" width="11.77734375" style="0" customWidth="1"/>
    <col min="9" max="9" width="10.6640625" style="0" customWidth="1"/>
    <col min="10" max="16" width="19.99609375" style="0" customWidth="1"/>
    <col min="17" max="17" width="14.77734375" style="0" customWidth="1"/>
  </cols>
  <sheetData>
    <row r="1" spans="1:17" ht="15.75" thickBot="1">
      <c r="A1" s="35"/>
      <c r="B1" s="36"/>
      <c r="C1" s="37" t="s">
        <v>137</v>
      </c>
      <c r="D1" s="38"/>
      <c r="E1" s="38"/>
      <c r="F1" s="38"/>
      <c r="G1" s="39"/>
      <c r="N1" s="23" t="s">
        <v>0</v>
      </c>
      <c r="O1" s="1" t="s">
        <v>1</v>
      </c>
      <c r="P1" s="2"/>
      <c r="Q1" s="1" t="s">
        <v>2</v>
      </c>
    </row>
    <row r="2" spans="2:16" ht="15">
      <c r="B2" s="41" t="s">
        <v>138</v>
      </c>
      <c r="C2" s="42"/>
      <c r="D2" s="42"/>
      <c r="E2" s="42"/>
      <c r="F2" s="43"/>
      <c r="G2" s="44"/>
      <c r="N2" s="1" t="s">
        <v>3</v>
      </c>
      <c r="O2" s="1" t="s">
        <v>120</v>
      </c>
      <c r="P2" s="3" t="s">
        <v>4</v>
      </c>
    </row>
    <row r="3" spans="2:18" ht="15">
      <c r="B3" s="45" t="s">
        <v>139</v>
      </c>
      <c r="C3" s="46"/>
      <c r="D3" s="47"/>
      <c r="E3" s="47"/>
      <c r="F3" s="48"/>
      <c r="G3" s="49"/>
      <c r="N3" s="6">
        <v>0</v>
      </c>
      <c r="O3" s="6">
        <v>0</v>
      </c>
      <c r="P3" s="2">
        <v>0</v>
      </c>
      <c r="Q3" s="1" t="s">
        <v>5</v>
      </c>
      <c r="R3" s="1" t="s">
        <v>6</v>
      </c>
    </row>
    <row r="4" spans="1:16" s="10" customFormat="1" ht="15.75" thickBot="1">
      <c r="A4" s="50"/>
      <c r="B4" s="51"/>
      <c r="C4" s="52"/>
      <c r="D4" s="52"/>
      <c r="E4" s="52"/>
      <c r="F4" s="52"/>
      <c r="G4" s="53"/>
      <c r="I4" s="8" t="s">
        <v>8</v>
      </c>
      <c r="N4" s="6">
        <v>2100</v>
      </c>
      <c r="O4" s="6">
        <v>0</v>
      </c>
      <c r="P4" s="2">
        <v>0.1</v>
      </c>
    </row>
    <row r="5" spans="1:18" s="10" customFormat="1" ht="15">
      <c r="A5" s="50"/>
      <c r="B5" s="54" t="s">
        <v>7</v>
      </c>
      <c r="C5" s="55">
        <v>0</v>
      </c>
      <c r="D5" s="56"/>
      <c r="E5" s="57"/>
      <c r="F5" s="58" t="s">
        <v>23</v>
      </c>
      <c r="G5" s="59">
        <f>C11*C12</f>
        <v>1819.28</v>
      </c>
      <c r="I5" s="9">
        <f>IF((C7=I4),2,0)</f>
        <v>0</v>
      </c>
      <c r="L5" s="8" t="s">
        <v>9</v>
      </c>
      <c r="N5" s="6">
        <v>10600</v>
      </c>
      <c r="O5" s="6">
        <v>850</v>
      </c>
      <c r="P5" s="2">
        <v>0.15</v>
      </c>
      <c r="Q5" s="8" t="s">
        <v>10</v>
      </c>
      <c r="R5" s="8" t="s">
        <v>11</v>
      </c>
    </row>
    <row r="6" spans="1:18" s="10" customFormat="1" ht="15">
      <c r="A6" s="50"/>
      <c r="B6" s="60" t="s">
        <v>12</v>
      </c>
      <c r="C6" s="61"/>
      <c r="D6" s="62"/>
      <c r="E6" s="57"/>
      <c r="F6" s="58" t="s">
        <v>117</v>
      </c>
      <c r="G6" s="63">
        <f>G5-G13-G16-C19</f>
        <v>1719.95</v>
      </c>
      <c r="H6" s="21"/>
      <c r="I6" s="8" t="s">
        <v>8</v>
      </c>
      <c r="L6" s="8" t="s">
        <v>9</v>
      </c>
      <c r="N6" s="6">
        <v>36600</v>
      </c>
      <c r="O6" s="6">
        <v>4750</v>
      </c>
      <c r="P6" s="2">
        <v>0.25</v>
      </c>
      <c r="R6" s="8" t="s">
        <v>13</v>
      </c>
    </row>
    <row r="7" spans="1:18" s="10" customFormat="1" ht="15">
      <c r="A7" s="50"/>
      <c r="B7" s="64" t="s">
        <v>145</v>
      </c>
      <c r="C7" s="65" t="s">
        <v>143</v>
      </c>
      <c r="D7" s="66"/>
      <c r="E7" s="57"/>
      <c r="F7" s="58" t="s">
        <v>119</v>
      </c>
      <c r="G7" s="63">
        <f>G5-G16</f>
        <v>1807.28</v>
      </c>
      <c r="I7" s="13">
        <f>IF((C9=I6),1,0)</f>
        <v>0</v>
      </c>
      <c r="L7" s="8" t="s">
        <v>9</v>
      </c>
      <c r="N7" s="6">
        <v>85700</v>
      </c>
      <c r="O7" s="6">
        <v>17025</v>
      </c>
      <c r="P7" s="2">
        <v>0.28</v>
      </c>
      <c r="R7" s="8" t="s">
        <v>14</v>
      </c>
    </row>
    <row r="8" spans="1:16" s="10" customFormat="1" ht="15">
      <c r="A8" s="50"/>
      <c r="B8" s="60" t="s">
        <v>15</v>
      </c>
      <c r="C8" s="61"/>
      <c r="D8" s="66"/>
      <c r="E8" s="67"/>
      <c r="F8" s="68" t="s">
        <v>118</v>
      </c>
      <c r="G8" s="69">
        <f>G5</f>
        <v>1819.28</v>
      </c>
      <c r="I8" s="9">
        <f>I7</f>
        <v>0</v>
      </c>
      <c r="J8" s="11">
        <f aca="true" t="shared" si="0" ref="J8:J17">CHOOSE($I$8+1,N3,N15,N21,N30)</f>
        <v>0</v>
      </c>
      <c r="K8" s="11">
        <f aca="true" t="shared" si="1" ref="K8:K17">CHOOSE($I$8+1,N3,N15,N21,N30)</f>
        <v>0</v>
      </c>
      <c r="L8" s="11">
        <f aca="true" t="shared" si="2" ref="L8:L17">CHOOSE($I$8+1,O3,O15,O21,O30)</f>
        <v>0</v>
      </c>
      <c r="M8" s="10">
        <f aca="true" t="shared" si="3" ref="M8:M17">CHOOSE($I$8+1,P3,P15,P21,P30)</f>
        <v>0</v>
      </c>
      <c r="N8" s="6">
        <v>176500</v>
      </c>
      <c r="O8" s="6">
        <v>42449</v>
      </c>
      <c r="P8" s="2">
        <v>0.33</v>
      </c>
    </row>
    <row r="9" spans="1:18" s="10" customFormat="1" ht="15">
      <c r="A9" s="50"/>
      <c r="B9" s="64" t="s">
        <v>140</v>
      </c>
      <c r="C9" s="65" t="s">
        <v>143</v>
      </c>
      <c r="D9" s="66"/>
      <c r="E9" s="58"/>
      <c r="F9" s="58" t="s">
        <v>18</v>
      </c>
      <c r="G9" s="70">
        <f>ROUND((((((I10-VLOOKUP(I10,J8:M17,2)))*VLOOKUP(I10,J8:M17,4))+VLOOKUP(I10,J8:M17,3))/I15)+C13,2)</f>
        <v>310.76</v>
      </c>
      <c r="I9" s="10">
        <f>O83/I15</f>
        <v>142.30769230769232</v>
      </c>
      <c r="J9" s="11">
        <f t="shared" si="0"/>
        <v>2100</v>
      </c>
      <c r="K9" s="11">
        <f t="shared" si="1"/>
        <v>2100</v>
      </c>
      <c r="L9" s="11">
        <f t="shared" si="2"/>
        <v>0</v>
      </c>
      <c r="M9" s="10">
        <f t="shared" si="3"/>
        <v>0.1</v>
      </c>
      <c r="N9" s="6">
        <v>381250</v>
      </c>
      <c r="O9" s="6">
        <v>110016.5</v>
      </c>
      <c r="P9" s="2">
        <v>0.35</v>
      </c>
      <c r="Q9" s="8" t="s">
        <v>16</v>
      </c>
      <c r="R9" s="8" t="s">
        <v>17</v>
      </c>
    </row>
    <row r="10" spans="1:18" s="10" customFormat="1" ht="15">
      <c r="A10" s="50"/>
      <c r="B10" s="60" t="s">
        <v>23</v>
      </c>
      <c r="C10" s="61"/>
      <c r="D10" s="66"/>
      <c r="E10" s="57"/>
      <c r="F10" s="58" t="s">
        <v>31</v>
      </c>
      <c r="G10" s="70">
        <f>ROUND((((((I45-VLOOKUP(I45,J40:M48,2)))*VLOOKUP(I45,J40:M48,4))+VLOOKUP(I45,J40:M48,3))/I47)+C14,2)</f>
        <v>84.69</v>
      </c>
      <c r="I10" s="14">
        <f>IF(I14&lt;0,0,I16)</f>
        <v>44718.700000000004</v>
      </c>
      <c r="J10" s="11">
        <f t="shared" si="0"/>
        <v>10600</v>
      </c>
      <c r="K10" s="11">
        <f t="shared" si="1"/>
        <v>10600</v>
      </c>
      <c r="L10" s="11">
        <f t="shared" si="2"/>
        <v>850</v>
      </c>
      <c r="M10" s="10">
        <f t="shared" si="3"/>
        <v>0.15</v>
      </c>
      <c r="N10" s="6">
        <v>9999999999</v>
      </c>
      <c r="O10" s="6">
        <v>9999999999</v>
      </c>
      <c r="P10" s="2">
        <v>1</v>
      </c>
      <c r="R10" s="8" t="s">
        <v>19</v>
      </c>
    </row>
    <row r="11" spans="1:18" s="10" customFormat="1" ht="15">
      <c r="A11" s="50"/>
      <c r="B11" s="64" t="s">
        <v>25</v>
      </c>
      <c r="C11" s="71">
        <v>22.741</v>
      </c>
      <c r="D11" s="66"/>
      <c r="E11" s="57"/>
      <c r="F11" s="58" t="s">
        <v>141</v>
      </c>
      <c r="G11" s="70">
        <f>ROUND(G$7*4.2/100,2)</f>
        <v>75.91</v>
      </c>
      <c r="I11" s="8" t="s">
        <v>20</v>
      </c>
      <c r="J11" s="11">
        <f t="shared" si="0"/>
        <v>36600</v>
      </c>
      <c r="K11" s="11">
        <f t="shared" si="1"/>
        <v>36600</v>
      </c>
      <c r="L11" s="11">
        <f t="shared" si="2"/>
        <v>4750</v>
      </c>
      <c r="M11" s="10">
        <f t="shared" si="3"/>
        <v>0.25</v>
      </c>
      <c r="N11" s="6">
        <v>375700</v>
      </c>
      <c r="O11" s="6">
        <v>108421.25</v>
      </c>
      <c r="P11" s="2">
        <v>0.35</v>
      </c>
      <c r="R11" s="8" t="s">
        <v>22</v>
      </c>
    </row>
    <row r="12" spans="1:16" s="10" customFormat="1" ht="15">
      <c r="A12" s="50"/>
      <c r="B12" s="64" t="s">
        <v>28</v>
      </c>
      <c r="C12" s="72">
        <v>80</v>
      </c>
      <c r="D12" s="66"/>
      <c r="E12" s="57"/>
      <c r="F12" s="73" t="s">
        <v>142</v>
      </c>
      <c r="G12" s="70">
        <f>ROUND(G$7*1.45/100,2)</f>
        <v>26.21</v>
      </c>
      <c r="I12" s="14">
        <f>IF(C17=I11,G13,0)</f>
        <v>87.33</v>
      </c>
      <c r="J12" s="11">
        <f t="shared" si="0"/>
        <v>85700</v>
      </c>
      <c r="K12" s="11">
        <f t="shared" si="1"/>
        <v>85700</v>
      </c>
      <c r="L12" s="11">
        <f t="shared" si="2"/>
        <v>17025</v>
      </c>
      <c r="M12" s="10">
        <f t="shared" si="3"/>
        <v>0.28</v>
      </c>
      <c r="N12" s="6">
        <v>9999999999</v>
      </c>
      <c r="O12" s="6">
        <v>9999999999</v>
      </c>
      <c r="P12" s="2">
        <v>1</v>
      </c>
    </row>
    <row r="13" spans="1:18" s="10" customFormat="1" ht="15">
      <c r="A13" s="50"/>
      <c r="B13" s="64" t="s">
        <v>34</v>
      </c>
      <c r="C13" s="74">
        <v>50</v>
      </c>
      <c r="D13" s="66"/>
      <c r="E13" s="73"/>
      <c r="F13" s="58" t="s">
        <v>24</v>
      </c>
      <c r="G13" s="70">
        <f>ROUND(G5*C18/100,2)</f>
        <v>87.33</v>
      </c>
      <c r="J13" s="11">
        <f t="shared" si="0"/>
        <v>176500</v>
      </c>
      <c r="K13" s="11">
        <f t="shared" si="1"/>
        <v>176500</v>
      </c>
      <c r="L13" s="11">
        <f t="shared" si="2"/>
        <v>42449</v>
      </c>
      <c r="M13" s="10">
        <f t="shared" si="3"/>
        <v>0.33</v>
      </c>
      <c r="N13"/>
      <c r="O13"/>
      <c r="P13"/>
      <c r="Q13" s="8" t="s">
        <v>26</v>
      </c>
      <c r="R13" s="8" t="s">
        <v>27</v>
      </c>
    </row>
    <row r="14" spans="1:18" s="10" customFormat="1" ht="15">
      <c r="A14" s="50"/>
      <c r="B14" s="64" t="s">
        <v>36</v>
      </c>
      <c r="C14" s="74">
        <v>0</v>
      </c>
      <c r="D14" s="66"/>
      <c r="E14" s="67"/>
      <c r="F14" s="68" t="s">
        <v>37</v>
      </c>
      <c r="G14" s="75">
        <f>C19</f>
        <v>0</v>
      </c>
      <c r="I14" s="10">
        <f>G5-(I9*C5)-I12-G16-G14</f>
        <v>1719.95</v>
      </c>
      <c r="J14" s="11">
        <f t="shared" si="0"/>
        <v>381250</v>
      </c>
      <c r="K14" s="11">
        <f t="shared" si="1"/>
        <v>381250</v>
      </c>
      <c r="L14" s="11">
        <f t="shared" si="2"/>
        <v>110016.5</v>
      </c>
      <c r="M14" s="10">
        <f t="shared" si="3"/>
        <v>0.35</v>
      </c>
      <c r="N14" s="7" t="s">
        <v>3</v>
      </c>
      <c r="O14" s="7" t="s">
        <v>120</v>
      </c>
      <c r="P14" s="3" t="s">
        <v>21</v>
      </c>
      <c r="Q14" s="8" t="s">
        <v>29</v>
      </c>
      <c r="R14" s="8" t="s">
        <v>30</v>
      </c>
    </row>
    <row r="15" spans="1:18" s="10" customFormat="1" ht="15">
      <c r="A15" s="50"/>
      <c r="B15" s="60" t="s">
        <v>24</v>
      </c>
      <c r="C15" s="61"/>
      <c r="D15" s="66"/>
      <c r="E15" s="57"/>
      <c r="F15" s="58" t="s">
        <v>133</v>
      </c>
      <c r="G15" s="76">
        <f>SUM(C30:C38)</f>
        <v>131</v>
      </c>
      <c r="I15" s="18">
        <f>IF(C$7="b",26,IF(C$7="M",12,1))</f>
        <v>26</v>
      </c>
      <c r="J15" s="11">
        <f t="shared" si="0"/>
        <v>9999999999</v>
      </c>
      <c r="K15" s="11">
        <f t="shared" si="1"/>
        <v>9999999999</v>
      </c>
      <c r="L15" s="11">
        <f t="shared" si="2"/>
        <v>9999999999</v>
      </c>
      <c r="M15" s="10">
        <f t="shared" si="3"/>
        <v>1</v>
      </c>
      <c r="N15" s="6">
        <v>0</v>
      </c>
      <c r="O15" s="6">
        <v>0</v>
      </c>
      <c r="P15" s="2">
        <v>0</v>
      </c>
      <c r="Q15" s="8" t="s">
        <v>32</v>
      </c>
      <c r="R15" s="8" t="s">
        <v>33</v>
      </c>
    </row>
    <row r="16" spans="1:18" s="10" customFormat="1" ht="15">
      <c r="A16" s="50"/>
      <c r="B16" s="64" t="s">
        <v>44</v>
      </c>
      <c r="C16" s="72"/>
      <c r="D16" s="66"/>
      <c r="E16" s="57"/>
      <c r="F16" s="58" t="s">
        <v>134</v>
      </c>
      <c r="G16" s="76">
        <f>SUM(C22:C27)</f>
        <v>12</v>
      </c>
      <c r="I16" s="10">
        <f>I14*I15</f>
        <v>44718.700000000004</v>
      </c>
      <c r="J16" s="11">
        <f t="shared" si="0"/>
        <v>375700</v>
      </c>
      <c r="K16" s="11">
        <f t="shared" si="1"/>
        <v>375700</v>
      </c>
      <c r="L16" s="11">
        <f t="shared" si="2"/>
        <v>108421.25</v>
      </c>
      <c r="M16" s="10">
        <f t="shared" si="3"/>
        <v>0.35</v>
      </c>
      <c r="N16" s="6">
        <v>7900</v>
      </c>
      <c r="O16" s="6">
        <v>0</v>
      </c>
      <c r="P16" s="2">
        <v>0.1</v>
      </c>
      <c r="R16" s="8" t="s">
        <v>35</v>
      </c>
    </row>
    <row r="17" spans="1:16" s="10" customFormat="1" ht="15.75" thickBot="1">
      <c r="A17" s="50"/>
      <c r="B17" s="64" t="s">
        <v>47</v>
      </c>
      <c r="C17" s="65" t="s">
        <v>20</v>
      </c>
      <c r="D17" s="66"/>
      <c r="E17" s="77"/>
      <c r="F17" s="78" t="s">
        <v>135</v>
      </c>
      <c r="G17" s="79">
        <f>G5-SUM(G9:G16)-C29</f>
        <v>1091.38</v>
      </c>
      <c r="J17" s="11">
        <f t="shared" si="0"/>
        <v>9999999999</v>
      </c>
      <c r="K17" s="11">
        <f t="shared" si="1"/>
        <v>9999999999</v>
      </c>
      <c r="L17" s="11">
        <f t="shared" si="2"/>
        <v>9999999999</v>
      </c>
      <c r="M17" s="10">
        <f t="shared" si="3"/>
        <v>1</v>
      </c>
      <c r="N17" s="6">
        <v>24900</v>
      </c>
      <c r="O17" s="6">
        <v>1700</v>
      </c>
      <c r="P17" s="2">
        <v>0.15</v>
      </c>
    </row>
    <row r="18" spans="1:18" s="10" customFormat="1" ht="15.75" thickBot="1">
      <c r="A18" s="50"/>
      <c r="B18" s="80" t="s">
        <v>130</v>
      </c>
      <c r="C18" s="72">
        <v>4.8</v>
      </c>
      <c r="D18" s="66"/>
      <c r="E18" s="57"/>
      <c r="F18" s="57"/>
      <c r="G18" s="76"/>
      <c r="H18" s="24"/>
      <c r="I18" s="24"/>
      <c r="J18" s="111" t="s">
        <v>124</v>
      </c>
      <c r="K18" s="112"/>
      <c r="L18" s="25"/>
      <c r="N18" s="6">
        <v>76900</v>
      </c>
      <c r="O18" s="6">
        <v>9500</v>
      </c>
      <c r="P18" s="2">
        <v>0.25</v>
      </c>
      <c r="Q18" s="8" t="s">
        <v>38</v>
      </c>
      <c r="R18" s="8" t="s">
        <v>39</v>
      </c>
    </row>
    <row r="19" spans="1:18" s="10" customFormat="1" ht="15.75" thickBot="1">
      <c r="A19" s="50"/>
      <c r="B19" s="64" t="s">
        <v>50</v>
      </c>
      <c r="C19" s="72">
        <v>0</v>
      </c>
      <c r="D19" s="66"/>
      <c r="E19" s="81"/>
      <c r="F19" s="82" t="s">
        <v>58</v>
      </c>
      <c r="G19" s="83"/>
      <c r="H19" s="20"/>
      <c r="I19" s="20"/>
      <c r="J19" s="26" t="s">
        <v>125</v>
      </c>
      <c r="K19" s="27">
        <v>435</v>
      </c>
      <c r="L19" s="28" t="s">
        <v>126</v>
      </c>
      <c r="N19" s="6">
        <v>147250</v>
      </c>
      <c r="O19" s="6">
        <v>27087.5</v>
      </c>
      <c r="P19" s="2">
        <v>0.28</v>
      </c>
      <c r="Q19" s="8" t="s">
        <v>29</v>
      </c>
      <c r="R19" s="8" t="s">
        <v>40</v>
      </c>
    </row>
    <row r="20" spans="1:17" s="10" customFormat="1" ht="15">
      <c r="A20" s="50"/>
      <c r="B20" s="84" t="s">
        <v>45</v>
      </c>
      <c r="C20" s="61"/>
      <c r="D20" s="66"/>
      <c r="E20" s="85"/>
      <c r="F20" s="86" t="s">
        <v>141</v>
      </c>
      <c r="G20" s="87">
        <f>ROUND(G$7*6.2/100,2)</f>
        <v>112.05</v>
      </c>
      <c r="H20" s="20"/>
      <c r="I20" s="20"/>
      <c r="J20" s="26" t="s">
        <v>127</v>
      </c>
      <c r="K20" s="27">
        <v>942.5</v>
      </c>
      <c r="L20" s="28" t="s">
        <v>126</v>
      </c>
      <c r="N20" s="6">
        <v>220200</v>
      </c>
      <c r="O20" s="6">
        <v>47513.5</v>
      </c>
      <c r="P20" s="2">
        <v>0.33</v>
      </c>
      <c r="Q20" s="8" t="s">
        <v>41</v>
      </c>
    </row>
    <row r="21" spans="1:18" s="10" customFormat="1" ht="15">
      <c r="A21" s="50"/>
      <c r="B21" s="84" t="s">
        <v>129</v>
      </c>
      <c r="C21" s="61"/>
      <c r="D21" s="66"/>
      <c r="E21" s="85"/>
      <c r="F21" s="88" t="s">
        <v>142</v>
      </c>
      <c r="G21" s="87">
        <f>ROUND(G$7*1.45/100,2)</f>
        <v>26.21</v>
      </c>
      <c r="H21" s="20"/>
      <c r="I21" s="20"/>
      <c r="J21" s="22"/>
      <c r="K21" s="22"/>
      <c r="L21" s="28"/>
      <c r="N21" s="6">
        <v>387050</v>
      </c>
      <c r="O21" s="6">
        <v>102574</v>
      </c>
      <c r="P21" s="2">
        <v>0.35</v>
      </c>
      <c r="Q21" s="8" t="s">
        <v>42</v>
      </c>
      <c r="R21" s="8" t="s">
        <v>43</v>
      </c>
    </row>
    <row r="22" spans="1:18" s="10" customFormat="1" ht="15">
      <c r="A22" s="50"/>
      <c r="B22" s="64" t="s">
        <v>55</v>
      </c>
      <c r="C22" s="74">
        <v>0</v>
      </c>
      <c r="D22" s="66"/>
      <c r="E22" s="89"/>
      <c r="F22" s="90" t="s">
        <v>24</v>
      </c>
      <c r="G22" s="91">
        <f>G5*C18*0.0156</f>
        <v>136.2276864</v>
      </c>
      <c r="H22" s="20"/>
      <c r="I22" s="20"/>
      <c r="J22" s="109" t="s">
        <v>128</v>
      </c>
      <c r="K22" s="110"/>
      <c r="L22" s="28"/>
      <c r="N22" s="6">
        <v>9999999999</v>
      </c>
      <c r="O22" s="6">
        <v>9999999999</v>
      </c>
      <c r="P22" s="2">
        <v>1</v>
      </c>
      <c r="R22" s="8" t="s">
        <v>46</v>
      </c>
    </row>
    <row r="23" spans="1:16" s="10" customFormat="1" ht="15">
      <c r="A23" s="50"/>
      <c r="B23" s="64" t="s">
        <v>57</v>
      </c>
      <c r="C23" s="74">
        <v>0</v>
      </c>
      <c r="D23" s="66"/>
      <c r="E23" s="57"/>
      <c r="F23" s="57"/>
      <c r="G23" s="76"/>
      <c r="H23" s="33">
        <v>788.97</v>
      </c>
      <c r="I23" s="22"/>
      <c r="J23" s="26" t="s">
        <v>125</v>
      </c>
      <c r="K23" s="27">
        <v>580</v>
      </c>
      <c r="L23" s="28" t="s">
        <v>126</v>
      </c>
      <c r="N23" s="6">
        <v>381400</v>
      </c>
      <c r="O23" s="6">
        <v>101085.5</v>
      </c>
      <c r="P23" s="2">
        <v>0.35</v>
      </c>
    </row>
    <row r="24" spans="1:18" s="10" customFormat="1" ht="15">
      <c r="A24" s="50"/>
      <c r="B24" s="64" t="s">
        <v>105</v>
      </c>
      <c r="C24" s="74">
        <v>0</v>
      </c>
      <c r="D24" s="92"/>
      <c r="E24" s="93"/>
      <c r="F24" s="94"/>
      <c r="G24" s="95"/>
      <c r="H24" s="34"/>
      <c r="I24" s="22"/>
      <c r="J24" s="26" t="s">
        <v>127</v>
      </c>
      <c r="K24" s="27">
        <v>1256.66</v>
      </c>
      <c r="L24" s="28" t="s">
        <v>126</v>
      </c>
      <c r="N24" s="6">
        <v>999999999999</v>
      </c>
      <c r="O24" s="6">
        <v>99999999999</v>
      </c>
      <c r="P24" s="2">
        <v>1</v>
      </c>
      <c r="Q24" s="8" t="s">
        <v>48</v>
      </c>
      <c r="R24" s="8" t="s">
        <v>49</v>
      </c>
    </row>
    <row r="25" spans="1:18" s="10" customFormat="1" ht="15">
      <c r="A25" s="50"/>
      <c r="B25" s="64" t="s">
        <v>61</v>
      </c>
      <c r="C25" s="74">
        <v>0</v>
      </c>
      <c r="D25" s="92"/>
      <c r="E25" s="93"/>
      <c r="F25" s="96"/>
      <c r="G25" s="97"/>
      <c r="H25" s="34">
        <f>IF(G25-K19&lt;=0,0,G25)</f>
        <v>0</v>
      </c>
      <c r="I25" s="22"/>
      <c r="J25" s="20"/>
      <c r="K25" s="20"/>
      <c r="L25" s="28"/>
      <c r="N25" s="6"/>
      <c r="O25" s="6"/>
      <c r="P25" s="2"/>
      <c r="R25" s="8" t="s">
        <v>51</v>
      </c>
    </row>
    <row r="26" spans="1:18" s="10" customFormat="1" ht="12.75">
      <c r="A26" s="50"/>
      <c r="B26" s="64" t="s">
        <v>136</v>
      </c>
      <c r="C26" s="74">
        <v>0</v>
      </c>
      <c r="D26" s="92"/>
      <c r="E26" s="93"/>
      <c r="F26" s="96"/>
      <c r="G26" s="98"/>
      <c r="H26" s="34">
        <f>IF(G25-K23&gt;=0,0.25*G25,H25-K19)</f>
        <v>-435</v>
      </c>
      <c r="I26" s="22">
        <f>IF(H25&lt;ABS(H26),H25,H26)</f>
        <v>0</v>
      </c>
      <c r="J26" s="20"/>
      <c r="K26" s="20"/>
      <c r="L26" s="28"/>
      <c r="N26" s="11"/>
      <c r="O26" s="11"/>
      <c r="P26" s="12"/>
      <c r="R26" s="8" t="s">
        <v>52</v>
      </c>
    </row>
    <row r="27" spans="1:16" s="10" customFormat="1" ht="12.75">
      <c r="A27" s="50"/>
      <c r="B27" s="64" t="s">
        <v>106</v>
      </c>
      <c r="C27" s="74">
        <v>12</v>
      </c>
      <c r="D27" s="92"/>
      <c r="E27" s="93"/>
      <c r="F27" s="96"/>
      <c r="G27" s="98"/>
      <c r="H27" s="22">
        <f>IF(G25-K23&gt;=0,0.15*G25,H25-K19)</f>
        <v>-435</v>
      </c>
      <c r="I27" s="22"/>
      <c r="J27" s="20"/>
      <c r="K27" s="20"/>
      <c r="L27" s="28"/>
      <c r="N27" s="11"/>
      <c r="O27" s="11"/>
      <c r="P27" s="12"/>
    </row>
    <row r="28" spans="1:18" s="10" customFormat="1" ht="12.75">
      <c r="A28" s="50"/>
      <c r="B28" s="84" t="s">
        <v>131</v>
      </c>
      <c r="C28" s="99"/>
      <c r="D28" s="92"/>
      <c r="E28" s="93"/>
      <c r="F28" s="96"/>
      <c r="G28" s="100"/>
      <c r="H28" s="22">
        <f>IF(G25-K23&gt;=0,H25-K19,0.15*G25)</f>
        <v>0</v>
      </c>
      <c r="I28" s="29">
        <f>MIN(H25,H28,ABS(H27))</f>
        <v>0</v>
      </c>
      <c r="J28" s="20"/>
      <c r="K28" s="20"/>
      <c r="L28" s="28"/>
      <c r="N28" s="11"/>
      <c r="O28" s="11"/>
      <c r="P28" s="12"/>
      <c r="Q28" s="8" t="s">
        <v>53</v>
      </c>
      <c r="R28" s="8" t="s">
        <v>54</v>
      </c>
    </row>
    <row r="29" spans="1:18" s="10" customFormat="1" ht="12.75">
      <c r="A29" s="50"/>
      <c r="B29" s="101" t="s">
        <v>132</v>
      </c>
      <c r="C29" s="102">
        <v>0</v>
      </c>
      <c r="D29" s="92"/>
      <c r="E29" s="93"/>
      <c r="F29" s="96"/>
      <c r="G29" s="97"/>
      <c r="H29" s="34"/>
      <c r="I29" s="22"/>
      <c r="J29" s="20"/>
      <c r="K29" s="20"/>
      <c r="L29" s="28"/>
      <c r="N29" s="16"/>
      <c r="O29" s="16"/>
      <c r="P29" s="17"/>
      <c r="R29" s="8" t="s">
        <v>56</v>
      </c>
    </row>
    <row r="30" spans="1:16" s="10" customFormat="1" ht="12.75">
      <c r="A30" s="50"/>
      <c r="B30" s="64" t="s">
        <v>63</v>
      </c>
      <c r="C30" s="103">
        <v>2.07</v>
      </c>
      <c r="D30" s="92"/>
      <c r="E30" s="93"/>
      <c r="F30" s="96"/>
      <c r="G30" s="97"/>
      <c r="H30" s="34">
        <f>IF(G25-K20&lt;=0,0,G25)</f>
        <v>0</v>
      </c>
      <c r="I30" s="22"/>
      <c r="J30" s="20"/>
      <c r="K30" s="20"/>
      <c r="L30" s="28"/>
      <c r="N30" s="11"/>
      <c r="O30" s="11"/>
      <c r="P30" s="12"/>
    </row>
    <row r="31" spans="1:18" s="10" customFormat="1" ht="12.75">
      <c r="A31" s="50"/>
      <c r="B31" s="64" t="s">
        <v>66</v>
      </c>
      <c r="C31" s="103">
        <v>0.05</v>
      </c>
      <c r="D31" s="66"/>
      <c r="E31" s="57"/>
      <c r="F31" s="58"/>
      <c r="G31" s="104"/>
      <c r="H31" s="34">
        <f>IF(G25-K24&gt;=0,0.25*G25,H30-K20)</f>
        <v>-942.5</v>
      </c>
      <c r="I31" s="22">
        <f>IF(H30&lt;ABS(H31),H30,H31)</f>
        <v>0</v>
      </c>
      <c r="J31" s="22"/>
      <c r="K31" s="22"/>
      <c r="L31" s="28"/>
      <c r="N31" s="11"/>
      <c r="O31" s="11"/>
      <c r="P31" s="12"/>
      <c r="Q31" s="8" t="s">
        <v>59</v>
      </c>
      <c r="R31" s="8" t="s">
        <v>60</v>
      </c>
    </row>
    <row r="32" spans="1:18" s="10" customFormat="1" ht="12.75">
      <c r="A32" s="50"/>
      <c r="B32" s="64" t="s">
        <v>68</v>
      </c>
      <c r="C32" s="103">
        <v>85.5</v>
      </c>
      <c r="D32" s="66"/>
      <c r="E32" s="57"/>
      <c r="F32" s="57"/>
      <c r="G32" s="104"/>
      <c r="H32" s="22">
        <f>IF(G25-K24&gt;=0,0.15*G25,H30-K20)</f>
        <v>-942.5</v>
      </c>
      <c r="I32" s="22"/>
      <c r="J32" s="22"/>
      <c r="K32" s="22"/>
      <c r="L32" s="28"/>
      <c r="N32" s="11"/>
      <c r="O32" s="11"/>
      <c r="P32" s="12"/>
      <c r="R32" s="8" t="s">
        <v>62</v>
      </c>
    </row>
    <row r="33" spans="1:16" s="10" customFormat="1" ht="13.5" thickBot="1">
      <c r="A33" s="50"/>
      <c r="B33" s="64" t="s">
        <v>68</v>
      </c>
      <c r="C33" s="103">
        <v>28.38</v>
      </c>
      <c r="D33" s="66"/>
      <c r="E33" s="57"/>
      <c r="F33" s="57"/>
      <c r="G33" s="76"/>
      <c r="H33" s="31">
        <f>IF(G25-K24&gt;=0,H30-K20,0.15*G25)</f>
        <v>0</v>
      </c>
      <c r="I33" s="30">
        <f>MIN(ABS(H32),H33,H30)</f>
        <v>0</v>
      </c>
      <c r="J33" s="31"/>
      <c r="K33" s="31"/>
      <c r="L33" s="32"/>
      <c r="N33" s="11"/>
      <c r="O33" s="11"/>
      <c r="P33" s="12"/>
    </row>
    <row r="34" spans="1:18" s="10" customFormat="1" ht="12.75">
      <c r="A34" s="50"/>
      <c r="B34" s="64" t="s">
        <v>68</v>
      </c>
      <c r="C34" s="103">
        <v>15</v>
      </c>
      <c r="D34" s="66"/>
      <c r="E34" s="57"/>
      <c r="F34" s="58"/>
      <c r="G34" s="76"/>
      <c r="N34" s="11"/>
      <c r="O34" s="11"/>
      <c r="P34" s="12"/>
      <c r="Q34" s="8" t="s">
        <v>64</v>
      </c>
      <c r="R34" s="8" t="s">
        <v>65</v>
      </c>
    </row>
    <row r="35" spans="1:18" s="10" customFormat="1" ht="12.75">
      <c r="A35" s="50"/>
      <c r="B35" s="64" t="s">
        <v>68</v>
      </c>
      <c r="C35" s="103">
        <v>0</v>
      </c>
      <c r="D35" s="66"/>
      <c r="E35" s="57"/>
      <c r="F35" s="57"/>
      <c r="G35" s="76"/>
      <c r="N35" s="11"/>
      <c r="O35" s="11"/>
      <c r="P35" s="12"/>
      <c r="R35" s="8" t="s">
        <v>67</v>
      </c>
    </row>
    <row r="36" spans="1:18" s="10" customFormat="1" ht="12.75">
      <c r="A36" s="50"/>
      <c r="B36" s="64" t="s">
        <v>68</v>
      </c>
      <c r="C36" s="103"/>
      <c r="D36" s="66"/>
      <c r="E36" s="57"/>
      <c r="F36" s="57"/>
      <c r="G36" s="76"/>
      <c r="N36" s="11"/>
      <c r="O36" s="11"/>
      <c r="P36" s="12"/>
      <c r="R36" s="8" t="s">
        <v>69</v>
      </c>
    </row>
    <row r="37" spans="1:16" s="10" customFormat="1" ht="12.75">
      <c r="A37" s="50"/>
      <c r="B37" s="64" t="s">
        <v>68</v>
      </c>
      <c r="C37" s="103" t="s">
        <v>9</v>
      </c>
      <c r="D37" s="66"/>
      <c r="E37" s="57"/>
      <c r="F37" s="57"/>
      <c r="G37" s="76"/>
      <c r="N37" s="11"/>
      <c r="O37" s="11"/>
      <c r="P37" s="12"/>
    </row>
    <row r="38" spans="1:18" s="10" customFormat="1" ht="12.75">
      <c r="A38" s="50"/>
      <c r="B38" s="64" t="s">
        <v>68</v>
      </c>
      <c r="C38" s="103" t="s">
        <v>9</v>
      </c>
      <c r="D38" s="66"/>
      <c r="E38" s="57"/>
      <c r="F38" s="57"/>
      <c r="G38" s="76"/>
      <c r="N38" s="11"/>
      <c r="O38" s="11"/>
      <c r="P38" s="12"/>
      <c r="Q38" s="8" t="s">
        <v>70</v>
      </c>
      <c r="R38" s="8" t="s">
        <v>71</v>
      </c>
    </row>
    <row r="39" spans="1:16" s="10" customFormat="1" ht="15">
      <c r="A39" s="50"/>
      <c r="B39" s="72"/>
      <c r="C39" s="103"/>
      <c r="D39" s="66"/>
      <c r="E39" s="57"/>
      <c r="F39" s="57"/>
      <c r="G39" s="76"/>
      <c r="I39" s="8" t="s">
        <v>8</v>
      </c>
      <c r="N39" s="7" t="s">
        <v>72</v>
      </c>
      <c r="O39" s="7" t="s">
        <v>120</v>
      </c>
      <c r="P39" s="3" t="s">
        <v>4</v>
      </c>
    </row>
    <row r="40" spans="1:18" s="10" customFormat="1" ht="15">
      <c r="A40" s="50"/>
      <c r="B40" s="72"/>
      <c r="C40" s="103"/>
      <c r="D40" s="105"/>
      <c r="E40" s="106"/>
      <c r="F40" s="106"/>
      <c r="G40" s="107" t="s">
        <v>144</v>
      </c>
      <c r="I40" s="10">
        <f>IF((C7=I39),2,0)</f>
        <v>0</v>
      </c>
      <c r="J40" s="10">
        <f aca="true" t="shared" si="4" ref="J40:J48">CHOOSE($I$43+1,N40,N50,N60,N70)</f>
        <v>0</v>
      </c>
      <c r="K40" s="10">
        <f aca="true" t="shared" si="5" ref="K40:M48">CHOOSE($I$43+1,N40,N50,N60,N70)</f>
        <v>0</v>
      </c>
      <c r="L40" s="10">
        <f t="shared" si="5"/>
        <v>0</v>
      </c>
      <c r="M40" s="19">
        <f t="shared" si="5"/>
        <v>0</v>
      </c>
      <c r="N40" s="6">
        <v>0</v>
      </c>
      <c r="O40" s="6">
        <v>0</v>
      </c>
      <c r="P40" s="2">
        <v>0</v>
      </c>
      <c r="Q40" s="8" t="s">
        <v>73</v>
      </c>
      <c r="R40" s="8" t="s">
        <v>74</v>
      </c>
    </row>
    <row r="41" spans="1:16" s="10" customFormat="1" ht="15">
      <c r="A41" s="50"/>
      <c r="B41" s="50"/>
      <c r="C41" s="50"/>
      <c r="D41" s="108"/>
      <c r="E41" s="50"/>
      <c r="F41" s="50"/>
      <c r="G41" s="50"/>
      <c r="I41" s="8" t="s">
        <v>8</v>
      </c>
      <c r="J41" s="10">
        <f t="shared" si="4"/>
        <v>2200</v>
      </c>
      <c r="K41" s="10">
        <f t="shared" si="5"/>
        <v>2200</v>
      </c>
      <c r="L41" s="10">
        <f t="shared" si="5"/>
        <v>0</v>
      </c>
      <c r="M41" s="19">
        <f t="shared" si="5"/>
        <v>0.0235</v>
      </c>
      <c r="N41" s="6">
        <v>2200</v>
      </c>
      <c r="O41" s="6">
        <v>0</v>
      </c>
      <c r="P41" s="4">
        <v>0.0235</v>
      </c>
    </row>
    <row r="42" spans="1:18" s="10" customFormat="1" ht="15">
      <c r="A42" s="50"/>
      <c r="B42" s="50"/>
      <c r="C42" s="50"/>
      <c r="D42" s="108"/>
      <c r="E42" s="50"/>
      <c r="F42" s="50"/>
      <c r="G42" s="50"/>
      <c r="I42" s="10">
        <f>IF((C9=I41),1,0)</f>
        <v>0</v>
      </c>
      <c r="J42" s="10">
        <f t="shared" si="4"/>
        <v>4400</v>
      </c>
      <c r="K42" s="10">
        <f t="shared" si="5"/>
        <v>4400</v>
      </c>
      <c r="L42" s="10">
        <f t="shared" si="5"/>
        <v>51.7</v>
      </c>
      <c r="M42" s="19">
        <f t="shared" si="5"/>
        <v>0.0327</v>
      </c>
      <c r="N42" s="6">
        <v>4400</v>
      </c>
      <c r="O42" s="6">
        <v>51.7</v>
      </c>
      <c r="P42" s="4">
        <v>0.0327</v>
      </c>
      <c r="Q42" s="8" t="s">
        <v>75</v>
      </c>
      <c r="R42" s="8" t="s">
        <v>123</v>
      </c>
    </row>
    <row r="43" spans="1:18" s="10" customFormat="1" ht="15">
      <c r="A43" s="50"/>
      <c r="B43" s="50"/>
      <c r="C43" s="50"/>
      <c r="D43" s="108"/>
      <c r="E43" s="50"/>
      <c r="F43" s="50"/>
      <c r="G43" s="50"/>
      <c r="I43" s="10">
        <f>I42</f>
        <v>0</v>
      </c>
      <c r="J43" s="10">
        <f t="shared" si="4"/>
        <v>15500</v>
      </c>
      <c r="K43" s="10">
        <f t="shared" si="5"/>
        <v>15500</v>
      </c>
      <c r="L43" s="10">
        <f t="shared" si="5"/>
        <v>414.67</v>
      </c>
      <c r="M43" s="19">
        <f t="shared" si="5"/>
        <v>0.0502</v>
      </c>
      <c r="N43" s="6">
        <v>15500</v>
      </c>
      <c r="O43" s="6">
        <v>414.67</v>
      </c>
      <c r="P43" s="4">
        <v>0.0502</v>
      </c>
      <c r="R43" s="8" t="s">
        <v>76</v>
      </c>
    </row>
    <row r="44" spans="1:16" s="10" customFormat="1" ht="15">
      <c r="A44" s="50"/>
      <c r="B44" s="50"/>
      <c r="C44" s="50"/>
      <c r="D44" s="108"/>
      <c r="E44" s="50"/>
      <c r="F44" s="50"/>
      <c r="G44" s="50"/>
      <c r="I44" s="10">
        <f>O86/I47</f>
        <v>65.38461538461539</v>
      </c>
      <c r="J44" s="10">
        <f t="shared" si="4"/>
        <v>22750</v>
      </c>
      <c r="K44" s="10">
        <f t="shared" si="5"/>
        <v>22750</v>
      </c>
      <c r="L44" s="10">
        <f t="shared" si="5"/>
        <v>778.62</v>
      </c>
      <c r="M44" s="19">
        <f t="shared" si="5"/>
        <v>0.062</v>
      </c>
      <c r="N44" s="6">
        <v>22750</v>
      </c>
      <c r="O44" s="6">
        <v>778.62</v>
      </c>
      <c r="P44" s="4">
        <v>0.062</v>
      </c>
    </row>
    <row r="45" spans="1:18" s="10" customFormat="1" ht="15">
      <c r="A45" s="50"/>
      <c r="B45" s="50"/>
      <c r="C45" s="50"/>
      <c r="D45" s="50"/>
      <c r="E45" s="50"/>
      <c r="F45" s="50"/>
      <c r="G45" s="50"/>
      <c r="I45" s="15">
        <f>IF(I46&lt;0,0,I48)</f>
        <v>44718.700000000004</v>
      </c>
      <c r="J45" s="10">
        <f t="shared" si="4"/>
        <v>29000</v>
      </c>
      <c r="K45" s="10">
        <f t="shared" si="5"/>
        <v>29000</v>
      </c>
      <c r="L45" s="10">
        <f t="shared" si="5"/>
        <v>1166.12</v>
      </c>
      <c r="M45" s="19">
        <f t="shared" si="5"/>
        <v>0.0659</v>
      </c>
      <c r="N45" s="6">
        <v>29000</v>
      </c>
      <c r="O45" s="6">
        <v>1166.12</v>
      </c>
      <c r="P45" s="4">
        <v>0.0659</v>
      </c>
      <c r="Q45" s="8" t="s">
        <v>77</v>
      </c>
      <c r="R45" s="8" t="s">
        <v>78</v>
      </c>
    </row>
    <row r="46" spans="1:18" s="10" customFormat="1" ht="15">
      <c r="A46" s="50"/>
      <c r="B46" s="50"/>
      <c r="C46" s="50"/>
      <c r="D46" s="50"/>
      <c r="E46" s="50"/>
      <c r="F46" s="50"/>
      <c r="G46" s="50"/>
      <c r="I46" s="10">
        <f>G5-(I44*C5)-I12-G16-G14</f>
        <v>1719.95</v>
      </c>
      <c r="J46" s="10">
        <f t="shared" si="4"/>
        <v>55000</v>
      </c>
      <c r="K46" s="10">
        <f t="shared" si="5"/>
        <v>55000</v>
      </c>
      <c r="L46" s="10">
        <f t="shared" si="5"/>
        <v>2879.52</v>
      </c>
      <c r="M46" s="19">
        <f t="shared" si="5"/>
        <v>0.0695</v>
      </c>
      <c r="N46" s="6">
        <v>55000</v>
      </c>
      <c r="O46" s="6">
        <v>2879.52</v>
      </c>
      <c r="P46" s="5">
        <v>0.0695</v>
      </c>
      <c r="R46" s="8" t="s">
        <v>79</v>
      </c>
    </row>
    <row r="47" spans="1:18" s="10" customFormat="1" ht="15">
      <c r="A47" s="50"/>
      <c r="B47" s="50"/>
      <c r="C47" s="50"/>
      <c r="D47" s="50"/>
      <c r="E47" s="50"/>
      <c r="F47" s="50"/>
      <c r="G47" s="50"/>
      <c r="I47" s="18">
        <f>IF(C$7="b",26,12)</f>
        <v>26</v>
      </c>
      <c r="J47" s="10">
        <f t="shared" si="4"/>
        <v>999999</v>
      </c>
      <c r="K47" s="10">
        <f t="shared" si="5"/>
        <v>999999</v>
      </c>
      <c r="L47" s="10">
        <f t="shared" si="5"/>
        <v>999999</v>
      </c>
      <c r="M47" s="19">
        <f t="shared" si="5"/>
        <v>1</v>
      </c>
      <c r="N47" s="6">
        <v>999999</v>
      </c>
      <c r="O47" s="6">
        <v>999999</v>
      </c>
      <c r="P47" s="5">
        <v>1</v>
      </c>
      <c r="Q47" s="8" t="s">
        <v>80</v>
      </c>
      <c r="R47" s="8" t="s">
        <v>81</v>
      </c>
    </row>
    <row r="48" spans="1:18" s="10" customFormat="1" ht="15">
      <c r="A48" s="50"/>
      <c r="B48" s="50"/>
      <c r="C48" s="50"/>
      <c r="D48" s="50"/>
      <c r="E48" s="50"/>
      <c r="F48" s="50"/>
      <c r="G48" s="50"/>
      <c r="I48" s="10">
        <f>I46*I47</f>
        <v>44718.700000000004</v>
      </c>
      <c r="J48" s="10">
        <f t="shared" si="4"/>
        <v>999999</v>
      </c>
      <c r="K48" s="10">
        <f t="shared" si="5"/>
        <v>999999</v>
      </c>
      <c r="L48" s="10">
        <f t="shared" si="5"/>
        <v>999999</v>
      </c>
      <c r="M48" s="19">
        <f t="shared" si="5"/>
        <v>1</v>
      </c>
      <c r="N48" s="6">
        <v>999999</v>
      </c>
      <c r="O48" s="6">
        <v>999999</v>
      </c>
      <c r="P48">
        <v>1</v>
      </c>
      <c r="R48" s="8" t="s">
        <v>82</v>
      </c>
    </row>
    <row r="49" spans="1:18" s="10" customFormat="1" ht="15">
      <c r="A49" s="50"/>
      <c r="B49" s="50"/>
      <c r="C49" s="50"/>
      <c r="D49" s="50"/>
      <c r="E49" s="50"/>
      <c r="F49" s="50"/>
      <c r="G49" s="50"/>
      <c r="N49" s="7" t="s">
        <v>83</v>
      </c>
      <c r="O49" s="7" t="s">
        <v>120</v>
      </c>
      <c r="P49" s="1" t="s">
        <v>21</v>
      </c>
      <c r="Q49" s="8" t="s">
        <v>84</v>
      </c>
      <c r="R49" s="8" t="s">
        <v>85</v>
      </c>
    </row>
    <row r="50" spans="1:18" s="10" customFormat="1" ht="15">
      <c r="A50" s="50"/>
      <c r="B50" s="50"/>
      <c r="C50" s="50"/>
      <c r="D50" s="50"/>
      <c r="E50" s="50"/>
      <c r="F50" s="50"/>
      <c r="G50" s="50"/>
      <c r="N50" s="6">
        <v>0</v>
      </c>
      <c r="O50" s="6">
        <v>0</v>
      </c>
      <c r="P50" s="2">
        <v>0</v>
      </c>
      <c r="R50" s="8" t="s">
        <v>86</v>
      </c>
    </row>
    <row r="51" spans="1:18" s="10" customFormat="1" ht="15">
      <c r="A51" s="50"/>
      <c r="B51" s="50"/>
      <c r="C51" s="50"/>
      <c r="D51" s="50"/>
      <c r="E51" s="50"/>
      <c r="F51" s="50"/>
      <c r="G51" s="50"/>
      <c r="N51" s="6">
        <v>6450</v>
      </c>
      <c r="O51" s="6">
        <v>0</v>
      </c>
      <c r="P51" s="4">
        <v>0.0235</v>
      </c>
      <c r="Q51" s="8" t="s">
        <v>87</v>
      </c>
      <c r="R51" s="8" t="s">
        <v>88</v>
      </c>
    </row>
    <row r="52" spans="1:18" s="10" customFormat="1" ht="15">
      <c r="A52" s="50"/>
      <c r="B52" s="50"/>
      <c r="C52" s="50"/>
      <c r="D52" s="50"/>
      <c r="E52" s="50"/>
      <c r="F52" s="50"/>
      <c r="G52" s="50"/>
      <c r="N52" s="6">
        <v>9450</v>
      </c>
      <c r="O52" s="6">
        <v>70.5</v>
      </c>
      <c r="P52" s="4">
        <v>0.0327</v>
      </c>
      <c r="R52" s="8" t="s">
        <v>89</v>
      </c>
    </row>
    <row r="53" spans="1:18" s="10" customFormat="1" ht="15">
      <c r="A53" s="50"/>
      <c r="B53" s="50"/>
      <c r="C53" s="50"/>
      <c r="D53" s="50"/>
      <c r="E53" s="50"/>
      <c r="F53" s="50"/>
      <c r="G53" s="50"/>
      <c r="N53" s="6">
        <v>23750</v>
      </c>
      <c r="O53" s="6">
        <v>538.11</v>
      </c>
      <c r="P53" s="4">
        <v>0.0502</v>
      </c>
      <c r="Q53" s="8" t="s">
        <v>90</v>
      </c>
      <c r="R53" s="8" t="s">
        <v>91</v>
      </c>
    </row>
    <row r="54" spans="1:18" s="10" customFormat="1" ht="15">
      <c r="A54" s="50"/>
      <c r="B54" s="50"/>
      <c r="C54" s="50"/>
      <c r="D54" s="50"/>
      <c r="E54" s="50"/>
      <c r="F54" s="50"/>
      <c r="G54" s="50"/>
      <c r="N54" s="6">
        <v>37000</v>
      </c>
      <c r="O54" s="6">
        <v>1203.26</v>
      </c>
      <c r="P54" s="4">
        <v>0.062</v>
      </c>
      <c r="R54" s="8" t="s">
        <v>86</v>
      </c>
    </row>
    <row r="55" spans="1:18" s="10" customFormat="1" ht="15">
      <c r="A55" s="50"/>
      <c r="B55" s="50"/>
      <c r="C55" s="50"/>
      <c r="D55" s="50"/>
      <c r="E55" s="50"/>
      <c r="F55" s="50"/>
      <c r="G55" s="50"/>
      <c r="N55" s="6">
        <v>46000</v>
      </c>
      <c r="O55" s="6">
        <v>1761.26</v>
      </c>
      <c r="P55" s="4">
        <v>0.0659</v>
      </c>
      <c r="Q55" s="8" t="s">
        <v>92</v>
      </c>
      <c r="R55" s="8" t="s">
        <v>93</v>
      </c>
    </row>
    <row r="56" spans="1:18" s="10" customFormat="1" ht="15">
      <c r="A56" s="50"/>
      <c r="B56" s="50"/>
      <c r="C56" s="50"/>
      <c r="D56" s="50"/>
      <c r="E56" s="50"/>
      <c r="F56" s="50"/>
      <c r="G56" s="50"/>
      <c r="N56" s="6">
        <v>61000</v>
      </c>
      <c r="O56" s="6">
        <v>2749.76</v>
      </c>
      <c r="P56" s="5">
        <v>0.0695</v>
      </c>
      <c r="R56" s="8" t="s">
        <v>86</v>
      </c>
    </row>
    <row r="57" spans="1:18" s="10" customFormat="1" ht="15">
      <c r="A57" s="50"/>
      <c r="B57" s="50"/>
      <c r="C57" s="50"/>
      <c r="D57" s="50"/>
      <c r="E57" s="50"/>
      <c r="F57" s="50"/>
      <c r="G57" s="50"/>
      <c r="N57" s="6">
        <v>999999</v>
      </c>
      <c r="O57" s="6">
        <v>999999</v>
      </c>
      <c r="P57" s="5">
        <v>1</v>
      </c>
      <c r="Q57" s="8" t="s">
        <v>94</v>
      </c>
      <c r="R57" s="8" t="s">
        <v>95</v>
      </c>
    </row>
    <row r="58" spans="14:18" ht="15">
      <c r="N58" s="6">
        <v>999999</v>
      </c>
      <c r="O58" s="6">
        <v>999999</v>
      </c>
      <c r="P58">
        <v>1</v>
      </c>
      <c r="R58" s="1" t="s">
        <v>96</v>
      </c>
    </row>
    <row r="59" spans="14:18" ht="15">
      <c r="N59" s="7"/>
      <c r="O59" s="7"/>
      <c r="P59" s="3"/>
      <c r="R59" s="1" t="s">
        <v>97</v>
      </c>
    </row>
    <row r="60" spans="14:18" ht="15">
      <c r="N60" s="6"/>
      <c r="O60" s="6"/>
      <c r="P60" s="2"/>
      <c r="R60" s="1" t="s">
        <v>98</v>
      </c>
    </row>
    <row r="61" spans="14:18" ht="15">
      <c r="N61" s="6"/>
      <c r="O61" s="6"/>
      <c r="P61" s="4"/>
      <c r="R61" s="1" t="s">
        <v>99</v>
      </c>
    </row>
    <row r="62" spans="14:18" ht="15">
      <c r="N62" s="6"/>
      <c r="O62" s="6"/>
      <c r="P62" s="4"/>
      <c r="R62" s="1" t="s">
        <v>100</v>
      </c>
    </row>
    <row r="63" spans="14:16" ht="15">
      <c r="N63" s="6"/>
      <c r="O63" s="6"/>
      <c r="P63" s="4"/>
    </row>
    <row r="64" spans="14:18" ht="15">
      <c r="N64" s="6"/>
      <c r="O64" s="6"/>
      <c r="P64" s="4"/>
      <c r="Q64" s="1" t="s">
        <v>101</v>
      </c>
      <c r="R64" s="1" t="s">
        <v>102</v>
      </c>
    </row>
    <row r="65" spans="14:16" ht="15">
      <c r="N65" s="6"/>
      <c r="O65" s="6"/>
      <c r="P65" s="4"/>
    </row>
    <row r="66" spans="14:18" ht="15">
      <c r="N66" s="6"/>
      <c r="O66" s="6"/>
      <c r="P66" s="5"/>
      <c r="Q66" s="1" t="s">
        <v>103</v>
      </c>
      <c r="R66" s="1" t="s">
        <v>104</v>
      </c>
    </row>
    <row r="67" spans="14:16" ht="15">
      <c r="N67" s="6"/>
      <c r="O67" s="6"/>
      <c r="P67" s="5"/>
    </row>
    <row r="68" spans="14:18" ht="15">
      <c r="N68" s="6"/>
      <c r="O68" s="6"/>
      <c r="Q68" t="s">
        <v>111</v>
      </c>
      <c r="R68" t="s">
        <v>112</v>
      </c>
    </row>
    <row r="69" spans="14:18" ht="15">
      <c r="N69" s="7"/>
      <c r="O69" s="7"/>
      <c r="P69" s="3"/>
      <c r="R69" t="s">
        <v>113</v>
      </c>
    </row>
    <row r="70" spans="14:16" ht="15">
      <c r="N70" s="6"/>
      <c r="O70" s="6"/>
      <c r="P70" s="2"/>
    </row>
    <row r="71" spans="14:18" ht="15">
      <c r="N71" s="6"/>
      <c r="O71" s="6"/>
      <c r="P71" s="4"/>
      <c r="Q71" t="s">
        <v>114</v>
      </c>
      <c r="R71" t="s">
        <v>115</v>
      </c>
    </row>
    <row r="72" spans="14:18" ht="15">
      <c r="N72" s="6"/>
      <c r="O72" s="6"/>
      <c r="P72" s="4"/>
      <c r="R72" t="s">
        <v>116</v>
      </c>
    </row>
    <row r="73" spans="14:16" ht="15">
      <c r="N73" s="6"/>
      <c r="O73" s="6"/>
      <c r="P73" s="4"/>
    </row>
    <row r="74" spans="14:16" ht="15">
      <c r="N74" s="6"/>
      <c r="O74" s="6"/>
      <c r="P74" s="4"/>
    </row>
    <row r="75" spans="14:16" ht="15">
      <c r="N75" s="6"/>
      <c r="O75" s="6"/>
      <c r="P75" s="4"/>
    </row>
    <row r="76" spans="14:16" ht="15">
      <c r="N76" s="6"/>
      <c r="O76" s="6"/>
      <c r="P76" s="5"/>
    </row>
    <row r="77" spans="14:16" ht="15">
      <c r="N77" s="6"/>
      <c r="O77" s="6"/>
      <c r="P77" s="5"/>
    </row>
    <row r="78" spans="14:16" ht="15">
      <c r="N78" s="6"/>
      <c r="O78" s="6"/>
      <c r="P78" s="4"/>
    </row>
    <row r="79" ht="15">
      <c r="P79" s="2"/>
    </row>
    <row r="80" ht="15">
      <c r="P80" s="2"/>
    </row>
    <row r="81" spans="14:16" ht="15">
      <c r="N81" s="23" t="s">
        <v>107</v>
      </c>
      <c r="O81" t="s">
        <v>108</v>
      </c>
      <c r="P81" s="2"/>
    </row>
    <row r="82" ht="15">
      <c r="P82" s="2"/>
    </row>
    <row r="83" spans="14:16" ht="15">
      <c r="N83" t="s">
        <v>121</v>
      </c>
      <c r="O83">
        <v>3700</v>
      </c>
      <c r="P83" s="2"/>
    </row>
    <row r="84" spans="14:16" ht="15">
      <c r="N84" t="s">
        <v>109</v>
      </c>
      <c r="P84" s="2"/>
    </row>
    <row r="85" ht="15">
      <c r="P85" s="2"/>
    </row>
    <row r="86" spans="14:16" ht="15">
      <c r="N86" t="s">
        <v>122</v>
      </c>
      <c r="O86">
        <v>1700</v>
      </c>
      <c r="P86" s="2"/>
    </row>
    <row r="87" ht="15">
      <c r="N87" t="s">
        <v>110</v>
      </c>
    </row>
  </sheetData>
  <sheetProtection password="CC2A" sheet="1"/>
  <mergeCells count="2">
    <mergeCell ref="J22:K22"/>
    <mergeCell ref="J18:K18"/>
  </mergeCells>
  <printOptions/>
  <pageMargins left="0.75" right="0.5" top="1" bottom="0.5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subject/>
  <dc:creator>Preferred Customer</dc:creator>
  <cp:keywords/>
  <dc:description/>
  <cp:lastModifiedBy>Ramona Hartley</cp:lastModifiedBy>
  <cp:lastPrinted>2011-06-15T16:08:40Z</cp:lastPrinted>
  <dcterms:created xsi:type="dcterms:W3CDTF">1997-11-14T16:41:47Z</dcterms:created>
  <dcterms:modified xsi:type="dcterms:W3CDTF">2011-06-16T13:43:20Z</dcterms:modified>
  <cp:category/>
  <cp:version/>
  <cp:contentType/>
  <cp:contentStatus/>
</cp:coreProperties>
</file>