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30" windowWidth="11130" windowHeight="6060"/>
  </bookViews>
  <sheets>
    <sheet name="PAYCL2013a" sheetId="1" r:id="rId1"/>
  </sheets>
  <definedNames>
    <definedName name="GRW">PAYCL2013a!$F$15</definedName>
    <definedName name="_xlnm.Print_Area" localSheetId="0">PAYCL2013a!$A$1:$F$47</definedName>
    <definedName name="Print_Area_MI">PAYCL2013a!$A$1:$G$29</definedName>
    <definedName name="TS">PAYCL2013a!$B$18</definedName>
  </definedNames>
  <calcPr calcId="145621"/>
</workbook>
</file>

<file path=xl/calcChain.xml><?xml version="1.0" encoding="utf-8"?>
<calcChain xmlns="http://schemas.openxmlformats.org/spreadsheetml/2006/main">
  <c r="F18" i="1" l="1"/>
  <c r="I58" i="1" l="1"/>
  <c r="H58" i="1"/>
  <c r="G58" i="1"/>
  <c r="H48" i="1"/>
  <c r="H45" i="1" s="1"/>
  <c r="H15" i="1"/>
  <c r="H9" i="1" s="1"/>
  <c r="F17" i="1"/>
  <c r="F15" i="1"/>
  <c r="F16" i="1" s="1"/>
  <c r="H41" i="1"/>
  <c r="H43" i="1"/>
  <c r="H44" i="1" s="1"/>
  <c r="H5" i="1"/>
  <c r="H7" i="1"/>
  <c r="H8" i="1" s="1"/>
  <c r="G25" i="1"/>
  <c r="G26" i="1" s="1"/>
  <c r="H26" i="1" s="1"/>
  <c r="G28" i="1"/>
  <c r="G30" i="1"/>
  <c r="G33" i="1" s="1"/>
  <c r="G34" i="1"/>
  <c r="G27" i="1" l="1"/>
  <c r="H28" i="1" s="1"/>
  <c r="H34" i="1"/>
  <c r="I46" i="1"/>
  <c r="L48" i="1"/>
  <c r="L47" i="1"/>
  <c r="I41" i="1"/>
  <c r="I49" i="1"/>
  <c r="I42" i="1"/>
  <c r="K44" i="1"/>
  <c r="G32" i="1"/>
  <c r="H32" i="1" s="1"/>
  <c r="F19" i="1"/>
  <c r="K58" i="1" s="1"/>
  <c r="F26" i="1" s="1"/>
  <c r="H12" i="1"/>
  <c r="H47" i="1" s="1"/>
  <c r="K48" i="1"/>
  <c r="L49" i="1"/>
  <c r="L45" i="1"/>
  <c r="K49" i="1"/>
  <c r="J42" i="1"/>
  <c r="J41" i="1"/>
  <c r="J49" i="1"/>
  <c r="L43" i="1"/>
  <c r="J47" i="1"/>
  <c r="L46" i="1"/>
  <c r="J44" i="1"/>
  <c r="I43" i="1"/>
  <c r="J48" i="1"/>
  <c r="I48" i="1"/>
  <c r="L41" i="1"/>
  <c r="I44" i="1"/>
  <c r="I45" i="1"/>
  <c r="J43" i="1"/>
  <c r="L17" i="1"/>
  <c r="I12" i="1"/>
  <c r="J10" i="1"/>
  <c r="J12" i="1"/>
  <c r="K10" i="1"/>
  <c r="I9" i="1"/>
  <c r="J17" i="1"/>
  <c r="K9" i="1"/>
  <c r="L10" i="1"/>
  <c r="J16" i="1"/>
  <c r="K12" i="1"/>
  <c r="K14" i="1"/>
  <c r="L8" i="1"/>
  <c r="L13" i="1"/>
  <c r="I15" i="1"/>
  <c r="I16" i="1"/>
  <c r="J14" i="1"/>
  <c r="I17" i="1"/>
  <c r="I13" i="1"/>
  <c r="L14" i="1"/>
  <c r="L15" i="1"/>
  <c r="K16" i="1"/>
  <c r="L16" i="1"/>
  <c r="I10" i="1"/>
  <c r="K11" i="1"/>
  <c r="K13" i="1"/>
  <c r="I14" i="1"/>
  <c r="I8" i="1"/>
  <c r="L12" i="1"/>
  <c r="K17" i="1"/>
  <c r="I11" i="1"/>
  <c r="J11" i="1"/>
  <c r="J8" i="1"/>
  <c r="L9" i="1"/>
  <c r="J13" i="1"/>
  <c r="J9" i="1"/>
  <c r="K8" i="1"/>
  <c r="K15" i="1"/>
  <c r="L11" i="1"/>
  <c r="J15" i="1"/>
  <c r="K42" i="1"/>
  <c r="L44" i="1"/>
  <c r="K46" i="1"/>
  <c r="K41" i="1"/>
  <c r="J46" i="1"/>
  <c r="K43" i="1"/>
  <c r="L42" i="1"/>
  <c r="K45" i="1"/>
  <c r="I47" i="1"/>
  <c r="K47" i="1"/>
  <c r="J45" i="1"/>
  <c r="H14" i="1" l="1"/>
  <c r="H16" i="1" s="1"/>
  <c r="H49" i="1"/>
  <c r="H46" i="1" s="1"/>
  <c r="F21" i="1" s="1"/>
  <c r="F7" i="1" s="1"/>
  <c r="H10" i="1" l="1"/>
</calcChain>
</file>

<file path=xl/sharedStrings.xml><?xml version="1.0" encoding="utf-8"?>
<sst xmlns="http://schemas.openxmlformats.org/spreadsheetml/2006/main" count="179" uniqueCount="155">
  <si>
    <t>Tax</t>
  </si>
  <si>
    <t>Tables</t>
  </si>
  <si>
    <t>DOCUMENTATION</t>
  </si>
  <si>
    <t>Federal</t>
  </si>
  <si>
    <t>Single</t>
  </si>
  <si>
    <t>CELL ADDRESS</t>
  </si>
  <si>
    <t>EXPLANATION</t>
  </si>
  <si>
    <t>Exemptions</t>
  </si>
  <si>
    <t>m</t>
  </si>
  <si>
    <t/>
  </si>
  <si>
    <t>A5 thru B15</t>
  </si>
  <si>
    <t xml:space="preserve">Basic information is entered in column B as directed in </t>
  </si>
  <si>
    <t>Pay Cycle</t>
  </si>
  <si>
    <t>computations.</t>
  </si>
  <si>
    <t>Marital Status</t>
  </si>
  <si>
    <t>C7 thru F8</t>
  </si>
  <si>
    <t xml:space="preserve">Retirement information is entered in columns D and F as </t>
  </si>
  <si>
    <t>y</t>
  </si>
  <si>
    <t>Married</t>
  </si>
  <si>
    <t>of wages which is not subject to taxes.</t>
  </si>
  <si>
    <t>Gross Wages</t>
  </si>
  <si>
    <t>Retirement</t>
  </si>
  <si>
    <t>Rate</t>
  </si>
  <si>
    <t>G4 thru G8</t>
  </si>
  <si>
    <t xml:space="preserve">These cells compare entries for pay cycle and marital </t>
  </si>
  <si>
    <t>Units</t>
  </si>
  <si>
    <t>and</t>
  </si>
  <si>
    <t>G39 thru G45</t>
  </si>
  <si>
    <t>Add FIT</t>
  </si>
  <si>
    <t>explained in the next group.</t>
  </si>
  <si>
    <t>Add SIT</t>
  </si>
  <si>
    <t>DCP</t>
  </si>
  <si>
    <t>H8 thru K16</t>
  </si>
  <si>
    <t>These cells use the value in G8 to select the correct</t>
  </si>
  <si>
    <t>value from the four tables listed in L1 thru N37.</t>
  </si>
  <si>
    <t>H40 thru k45</t>
  </si>
  <si>
    <t>G9 and G44</t>
  </si>
  <si>
    <t xml:space="preserve">This cell compares the pay cycle value to a standard to </t>
  </si>
  <si>
    <t>determine the proper amount to allow for each exemption.</t>
  </si>
  <si>
    <t>G10 and G45</t>
  </si>
  <si>
    <t xml:space="preserve">This cell computes taxable wages by taking total gross </t>
  </si>
  <si>
    <t>DCP $ Withheld</t>
  </si>
  <si>
    <t xml:space="preserve">less tax-sheltered retirement less the withholding amount </t>
  </si>
  <si>
    <t>times the number of exemptions.</t>
  </si>
  <si>
    <t>G11 thru G12</t>
  </si>
  <si>
    <t>These cells determine if the retirement is tax sheltered</t>
  </si>
  <si>
    <t>and then determines the amount for use in cell G10 &amp; G45.</t>
  </si>
  <si>
    <t>E11</t>
  </si>
  <si>
    <t>Comutes total gross by multiplying the values enter in</t>
  </si>
  <si>
    <t>column B.</t>
  </si>
  <si>
    <t>E14</t>
  </si>
  <si>
    <t xml:space="preserve">Computes federal tax withholding by using the table </t>
  </si>
  <si>
    <t>in cells H8 thru K16 and vlookup to identify the proper</t>
  </si>
  <si>
    <t>values to use in the formula.</t>
  </si>
  <si>
    <t>E15</t>
  </si>
  <si>
    <t>Computes state income tax withholding using cells H40 thru K45.</t>
  </si>
  <si>
    <t xml:space="preserve">State </t>
  </si>
  <si>
    <t>E16</t>
  </si>
  <si>
    <t>Computes social security using the standard percentage.</t>
  </si>
  <si>
    <t>E17</t>
  </si>
  <si>
    <t xml:space="preserve">percentage entered and adding the fixed amount. </t>
  </si>
  <si>
    <t>G23 thru H31</t>
  </si>
  <si>
    <t>Computes the proper amount to hold for garnishment.</t>
  </si>
  <si>
    <t>G23-H26 is for biweekly and G28-H31 is for monthly.</t>
  </si>
  <si>
    <t>Compares disposable income to protected amount for the</t>
  </si>
  <si>
    <t>pay period to see if any can be held.</t>
  </si>
  <si>
    <t>State</t>
  </si>
  <si>
    <t xml:space="preserve">Determines if 25% or amount exceeding protected amount </t>
  </si>
  <si>
    <t>should be held.</t>
  </si>
  <si>
    <t>household amount.</t>
  </si>
  <si>
    <t>Determines if 15% or amount exceeding protected amount</t>
  </si>
  <si>
    <t>Determines if amount exceeding protected amount or 15%</t>
  </si>
  <si>
    <t>Select the lessor of the above two amounts and the G23/G28</t>
  </si>
  <si>
    <t xml:space="preserve">The G25-G26/G30-G31 comparisons are necessary as the </t>
  </si>
  <si>
    <t>Disposable Income approaches the break point, the 15%</t>
  </si>
  <si>
    <t>computaion will become lower than the difference which is</t>
  </si>
  <si>
    <t>based on 25%.</t>
  </si>
  <si>
    <t>E33</t>
  </si>
  <si>
    <t>Selects the proper 15% amount depending upon the pay cycle.</t>
  </si>
  <si>
    <t>E35</t>
  </si>
  <si>
    <t>Selects the proper 25% amount depending upon the pay cycle.</t>
  </si>
  <si>
    <t>Withholding</t>
  </si>
  <si>
    <t>Allowance</t>
  </si>
  <si>
    <t>Federal Monthly</t>
  </si>
  <si>
    <t>State Monthly</t>
  </si>
  <si>
    <t>H9</t>
  </si>
  <si>
    <t>Uses values from B7 to determine the proper federal withholding</t>
  </si>
  <si>
    <t xml:space="preserve"> allowance amount obtained from cells N84 and N85.</t>
  </si>
  <si>
    <t>H44</t>
  </si>
  <si>
    <t>Uses values from B7 to determine the proper state withholding</t>
  </si>
  <si>
    <t xml:space="preserve"> allowance amount obtained from cells N87 and N88.</t>
  </si>
  <si>
    <t>Annual</t>
  </si>
  <si>
    <t>Federal Annual</t>
  </si>
  <si>
    <t>State Annual</t>
  </si>
  <si>
    <t xml:space="preserve">Computes retirement by multiplying the gross by the </t>
  </si>
  <si>
    <t>Minimum Wages Subject</t>
  </si>
  <si>
    <t>Biweekly</t>
  </si>
  <si>
    <t>Revised 8/24/09</t>
  </si>
  <si>
    <t>Monthly</t>
  </si>
  <si>
    <t>Wage Range</t>
  </si>
  <si>
    <t>Tax Sheltered Deductions</t>
  </si>
  <si>
    <t>Med Rm (Sect 125)</t>
  </si>
  <si>
    <t>Employee Name</t>
  </si>
  <si>
    <t>Address Book #</t>
  </si>
  <si>
    <t>SIT - State Income Tax</t>
  </si>
  <si>
    <t>YES</t>
  </si>
  <si>
    <t>NO</t>
  </si>
  <si>
    <t>Is State Tax Greater than requirement?</t>
  </si>
  <si>
    <t>NOTES:</t>
  </si>
  <si>
    <t xml:space="preserve">This data is set by "IFs" </t>
  </si>
  <si>
    <t>Pay Periods</t>
  </si>
  <si>
    <t>Stanrd Ded</t>
  </si>
  <si>
    <t>Personal Exemption</t>
  </si>
  <si>
    <t>This data should be reviewed for accuracy and possibly changed every year.</t>
  </si>
  <si>
    <t>Pay Periods Per Year</t>
  </si>
  <si>
    <t>Bi Weekly</t>
  </si>
  <si>
    <t xml:space="preserve">Monthly </t>
  </si>
  <si>
    <t>Standard Tax Deduction</t>
  </si>
  <si>
    <t>Per Person</t>
  </si>
  <si>
    <t>Calculation</t>
  </si>
  <si>
    <t>Y</t>
  </si>
  <si>
    <t>W-4 Calculation for 2014</t>
  </si>
  <si>
    <t>Health (Sec 125)</t>
  </si>
  <si>
    <t>Dental (Sec 125)</t>
  </si>
  <si>
    <t>Dep Cr (Sec 125)</t>
  </si>
  <si>
    <t>Parking (Sec 132)</t>
  </si>
  <si>
    <t>Vision (Sec 125)</t>
  </si>
  <si>
    <r>
      <rPr>
        <b/>
        <sz val="10"/>
        <rFont val="Arial MT"/>
      </rPr>
      <t xml:space="preserve">S </t>
    </r>
    <r>
      <rPr>
        <sz val="10"/>
        <rFont val="Arial MT"/>
      </rPr>
      <t xml:space="preserve">Single or </t>
    </r>
    <r>
      <rPr>
        <b/>
        <sz val="10"/>
        <rFont val="Arial MT"/>
      </rPr>
      <t>M</t>
    </r>
    <r>
      <rPr>
        <sz val="10"/>
        <rFont val="Arial MT"/>
      </rPr>
      <t xml:space="preserve"> Married</t>
    </r>
  </si>
  <si>
    <r>
      <rPr>
        <b/>
        <sz val="10"/>
        <rFont val="Arial MT"/>
      </rPr>
      <t xml:space="preserve">A </t>
    </r>
    <r>
      <rPr>
        <sz val="10"/>
        <rFont val="Arial MT"/>
      </rPr>
      <t xml:space="preserve">Annual, </t>
    </r>
    <r>
      <rPr>
        <b/>
        <sz val="10"/>
        <rFont val="Arial MT"/>
      </rPr>
      <t xml:space="preserve">B </t>
    </r>
    <r>
      <rPr>
        <sz val="10"/>
        <rFont val="Arial MT"/>
      </rPr>
      <t xml:space="preserve">Bi-weekly, </t>
    </r>
    <r>
      <rPr>
        <b/>
        <sz val="10"/>
        <rFont val="Arial MT"/>
      </rPr>
      <t xml:space="preserve">M </t>
    </r>
    <r>
      <rPr>
        <sz val="10"/>
        <rFont val="Arial MT"/>
      </rPr>
      <t>Monthly</t>
    </r>
  </si>
  <si>
    <r>
      <rPr>
        <b/>
        <sz val="10"/>
        <rFont val="Arial MT"/>
      </rPr>
      <t>Y</t>
    </r>
    <r>
      <rPr>
        <sz val="10"/>
        <rFont val="Arial MT"/>
      </rPr>
      <t xml:space="preserve"> Yes or </t>
    </r>
    <r>
      <rPr>
        <b/>
        <sz val="10"/>
        <rFont val="Arial MT"/>
      </rPr>
      <t>N</t>
    </r>
    <r>
      <rPr>
        <sz val="10"/>
        <rFont val="Arial MT"/>
      </rPr>
      <t xml:space="preserve"> No</t>
    </r>
  </si>
  <si>
    <t>column A. This information is used to perform the needed</t>
  </si>
  <si>
    <t>directed in columns C and E. This identifies the amount</t>
  </si>
  <si>
    <t xml:space="preserve">status to constants. Based on the comparisons, different </t>
  </si>
  <si>
    <t xml:space="preserve">values are placed in cell G8. This value is used as </t>
  </si>
  <si>
    <t xml:space="preserve">          % Withheld</t>
  </si>
  <si>
    <t>* If NO, the employee must validate the</t>
  </si>
  <si>
    <t xml:space="preserve">  exemptions listed or resubmit a new form. </t>
  </si>
  <si>
    <t>G23 G28</t>
  </si>
  <si>
    <t>G24 G29</t>
  </si>
  <si>
    <t>H24 H29</t>
  </si>
  <si>
    <t>Selects the lessor of the above two amounts. Non head of</t>
  </si>
  <si>
    <t>G25 G30</t>
  </si>
  <si>
    <t>G26 G31</t>
  </si>
  <si>
    <t>H26 H31</t>
  </si>
  <si>
    <t>amount. Head of household amount.</t>
  </si>
  <si>
    <r>
      <t xml:space="preserve">Special Withholding Procedures - An employee's state income tax withholding is calculated by the percentage method. If the calculated result is not at least 1.5% of the employee's taxable wage, the employer receives documentation from the employee substantiating the lower withholding.                                                                                
</t>
    </r>
    <r>
      <rPr>
        <b/>
        <sz val="11"/>
        <rFont val="Arial"/>
        <family val="2"/>
      </rPr>
      <t>Documentation may include:
*  Verification of the number of children/dependents;
*  Marital status;
*  and/or the amount of itemized deductions.</t>
    </r>
    <r>
      <rPr>
        <sz val="11"/>
        <rFont val="Arial"/>
        <family val="2"/>
      </rPr>
      <t xml:space="preserve">
Without documentation, the employee's withholding must be set at 1.5% or higher. The employer may be subject to a penalty of up to $1,000 for each employee under-withheld if the employee's low withholding is not substantiated. An employee that intentionally evades the Nebraska income tax by claiming an excessive number of allowances, or in any other manner overstating the amount of withholding, can be found guilty of a Class II misdemeanor.                                                                                         </t>
    </r>
  </si>
  <si>
    <t>Tax Sheltered</t>
  </si>
  <si>
    <t>Excludable Deductions</t>
  </si>
  <si>
    <t>B</t>
  </si>
  <si>
    <t>updated 20140611</t>
  </si>
  <si>
    <t>* If YES, Form W4 is acceptable.</t>
  </si>
  <si>
    <t xml:space="preserve">Amount required by LB1004 </t>
  </si>
  <si>
    <t>State Taxable Wages</t>
  </si>
  <si>
    <t xml:space="preserve"> </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</si>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</sst>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164" formatCode="0.000_)"/>
    <numFmt numFmtId="165" formatCode="0_)"/>
    <numFmt numFmtId="166" formatCode="General_)"/>
    <numFmt numFmtId="167" formatCode="0.00_)"/>
    <numFmt numFmtId="168" formatCode="0.0000_)"/>
    <numFmt numFmtId="169" formatCode="&quot;$&quot;#,##0.00"/>
    <numFmt numFmtId="170" formatCode="&quot;$&quot;#,##0.000_);\(&quot;$&quot;#,##0.000\)"/>
  </numFmts>
  <fonts count="8">
    <font>
      <sz val="12"/>
      <name val="Arial MT"/>
    </font>
    <font>
      <sz val="12"/>
      <name val="Arial MT"/>
    </font>
    <font>
      <sz val="10"/>
      <name val="Arial MT"/>
    </font>
    <font>
      <b/>
      <sz val="10"/>
      <name val="Arial MT"/>
    </font>
    <font>
      <sz val="11"/>
      <name val="Arial"/>
      <family val="2"/>
    </font>
    <font>
      <b/>
      <sz val="11"/>
      <name val="Arial"/>
      <family val="2"/>
    </font>
    <font>
      <sz val="8"/>
      <name val="Arial MT"/>
    </font>
    <font>
      <sz val="16"/>
      <name val="Arial MT"/>
    </font>
  </fonts>
  <fills count="14">
    <fill>
      <patternFill patternType="none"/>
    </fill>
    <fill>
      <patternFill patternType="gray125"/>
    </fill>
    <fill>
      <patternFill patternType="solid">
        <fgColor theme="6"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s>
  <borders count="34">
    <border>
      <left/>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167" fontId="0" fillId="0" borderId="0"/>
    <xf numFmtId="0" fontId="1" fillId="0" borderId="0"/>
  </cellStyleXfs>
  <cellXfs count="139">
    <xf numFmtId="167" fontId="0" fillId="0" borderId="0" xfId="0"/>
    <xf numFmtId="167" fontId="0" fillId="0" borderId="0" xfId="0" applyAlignment="1">
      <alignment horizontal="left"/>
    </xf>
    <xf numFmtId="164" fontId="0" fillId="0" borderId="0" xfId="0" applyNumberFormat="1" applyProtection="1"/>
    <xf numFmtId="164" fontId="0" fillId="0" borderId="0" xfId="0" applyNumberFormat="1" applyAlignment="1" applyProtection="1">
      <alignment horizontal="left"/>
    </xf>
    <xf numFmtId="168" fontId="0" fillId="0" borderId="0" xfId="0" applyNumberFormat="1" applyProtection="1"/>
    <xf numFmtId="168" fontId="0" fillId="0" borderId="0" xfId="0" applyNumberFormat="1"/>
    <xf numFmtId="4" fontId="0" fillId="0" borderId="0" xfId="0" applyNumberFormat="1"/>
    <xf numFmtId="4" fontId="0" fillId="0" borderId="0" xfId="0" applyNumberFormat="1" applyAlignment="1">
      <alignment horizontal="left"/>
    </xf>
    <xf numFmtId="167" fontId="2" fillId="0" borderId="0" xfId="0" applyFont="1" applyAlignment="1">
      <alignment horizontal="left"/>
    </xf>
    <xf numFmtId="165" fontId="2" fillId="0" borderId="0" xfId="0" applyNumberFormat="1" applyFont="1" applyProtection="1"/>
    <xf numFmtId="167" fontId="2" fillId="0" borderId="0" xfId="0" applyFont="1"/>
    <xf numFmtId="4" fontId="2" fillId="0" borderId="0" xfId="0" applyNumberFormat="1" applyFont="1"/>
    <xf numFmtId="164" fontId="2" fillId="0" borderId="0" xfId="0" applyNumberFormat="1" applyFont="1" applyProtection="1"/>
    <xf numFmtId="166" fontId="2" fillId="0" borderId="0" xfId="0" applyNumberFormat="1" applyFont="1" applyProtection="1"/>
    <xf numFmtId="7" fontId="2" fillId="0" borderId="0" xfId="0" applyNumberFormat="1" applyFont="1" applyProtection="1"/>
    <xf numFmtId="39" fontId="2" fillId="0" borderId="0" xfId="0" applyNumberFormat="1" applyFont="1" applyProtection="1"/>
    <xf numFmtId="4" fontId="2" fillId="0" borderId="0" xfId="0" applyNumberFormat="1" applyFont="1" applyAlignment="1">
      <alignment horizontal="left"/>
    </xf>
    <xf numFmtId="164" fontId="2" fillId="0" borderId="0" xfId="0" applyNumberFormat="1" applyFont="1" applyAlignment="1" applyProtection="1">
      <alignment horizontal="left"/>
    </xf>
    <xf numFmtId="165" fontId="2" fillId="0" borderId="0" xfId="0" applyNumberFormat="1" applyFont="1"/>
    <xf numFmtId="168" fontId="2" fillId="0" borderId="0" xfId="0" applyNumberFormat="1" applyFont="1" applyProtection="1"/>
    <xf numFmtId="167" fontId="2" fillId="2" borderId="0" xfId="0" applyFont="1" applyFill="1" applyBorder="1"/>
    <xf numFmtId="167" fontId="2" fillId="0" borderId="0" xfId="0" applyFont="1" applyBorder="1"/>
    <xf numFmtId="0" fontId="2" fillId="2" borderId="0" xfId="0" applyNumberFormat="1" applyFont="1" applyFill="1" applyBorder="1"/>
    <xf numFmtId="167" fontId="0" fillId="0" borderId="0" xfId="0" applyAlignment="1">
      <alignment horizontal="right"/>
    </xf>
    <xf numFmtId="167" fontId="2" fillId="2" borderId="2" xfId="0" applyFont="1" applyFill="1" applyBorder="1"/>
    <xf numFmtId="167" fontId="2" fillId="2" borderId="3" xfId="0" applyFont="1" applyFill="1" applyBorder="1"/>
    <xf numFmtId="0" fontId="2" fillId="5" borderId="1" xfId="0" applyNumberFormat="1" applyFont="1" applyFill="1" applyBorder="1" applyAlignment="1">
      <alignment horizontal="right"/>
    </xf>
    <xf numFmtId="169" fontId="2" fillId="5" borderId="1" xfId="0" applyNumberFormat="1" applyFont="1" applyFill="1" applyBorder="1"/>
    <xf numFmtId="167" fontId="2" fillId="2" borderId="4" xfId="0" applyFont="1" applyFill="1" applyBorder="1"/>
    <xf numFmtId="7" fontId="2" fillId="2" borderId="0" xfId="0" applyNumberFormat="1" applyFont="1" applyFill="1" applyBorder="1"/>
    <xf numFmtId="7" fontId="2" fillId="2" borderId="5" xfId="0" applyNumberFormat="1" applyFont="1" applyFill="1" applyBorder="1"/>
    <xf numFmtId="0" fontId="2" fillId="2" borderId="5" xfId="0" applyNumberFormat="1" applyFont="1" applyFill="1" applyBorder="1"/>
    <xf numFmtId="167" fontId="2" fillId="2" borderId="6" xfId="0" applyFont="1" applyFill="1" applyBorder="1"/>
    <xf numFmtId="167" fontId="0" fillId="0" borderId="0" xfId="0" applyBorder="1"/>
    <xf numFmtId="167" fontId="2" fillId="0" borderId="5" xfId="0" applyFont="1" applyBorder="1"/>
    <xf numFmtId="2" fontId="2" fillId="2" borderId="0" xfId="0" applyNumberFormat="1" applyFont="1" applyFill="1" applyBorder="1"/>
    <xf numFmtId="7" fontId="2" fillId="2" borderId="0" xfId="0" applyNumberFormat="1" applyFont="1" applyFill="1" applyBorder="1" applyProtection="1"/>
    <xf numFmtId="167" fontId="2" fillId="0" borderId="0" xfId="0" applyFont="1" applyFill="1" applyBorder="1"/>
    <xf numFmtId="167" fontId="2" fillId="0" borderId="0" xfId="0" applyFont="1" applyFill="1" applyBorder="1" applyAlignment="1">
      <alignment horizontal="left"/>
    </xf>
    <xf numFmtId="9" fontId="2" fillId="0" borderId="0" xfId="0" applyNumberFormat="1" applyFont="1" applyFill="1" applyBorder="1"/>
    <xf numFmtId="169" fontId="2" fillId="0" borderId="8" xfId="0" applyNumberFormat="1" applyFont="1" applyFill="1" applyBorder="1"/>
    <xf numFmtId="169" fontId="2" fillId="0" borderId="8" xfId="1" applyNumberFormat="1" applyFont="1" applyFill="1" applyBorder="1"/>
    <xf numFmtId="0" fontId="2" fillId="0" borderId="0" xfId="0" applyNumberFormat="1" applyFont="1" applyFill="1" applyBorder="1"/>
    <xf numFmtId="7" fontId="2" fillId="0" borderId="8" xfId="0" applyNumberFormat="1" applyFont="1" applyFill="1" applyBorder="1"/>
    <xf numFmtId="167" fontId="2" fillId="0" borderId="9" xfId="0" applyFont="1" applyFill="1" applyBorder="1"/>
    <xf numFmtId="167" fontId="2" fillId="0" borderId="9" xfId="0" applyFont="1" applyFill="1" applyBorder="1" applyAlignment="1">
      <alignment horizontal="left"/>
    </xf>
    <xf numFmtId="169" fontId="2" fillId="0" borderId="0" xfId="0" applyNumberFormat="1" applyFont="1" applyFill="1" applyBorder="1" applyAlignment="1">
      <alignment horizontal="right"/>
    </xf>
    <xf numFmtId="167" fontId="2" fillId="0" borderId="2" xfId="0" applyFont="1" applyFill="1" applyBorder="1"/>
    <xf numFmtId="167" fontId="2" fillId="0" borderId="10" xfId="0" applyFont="1" applyFill="1" applyBorder="1"/>
    <xf numFmtId="167" fontId="6" fillId="0" borderId="11" xfId="0" applyFont="1" applyFill="1" applyBorder="1" applyAlignment="1">
      <alignment horizontal="center"/>
    </xf>
    <xf numFmtId="167" fontId="0" fillId="0" borderId="13" xfId="0" applyBorder="1" applyAlignment="1"/>
    <xf numFmtId="169" fontId="2" fillId="0" borderId="0" xfId="0" applyNumberFormat="1" applyFont="1" applyFill="1" applyBorder="1"/>
    <xf numFmtId="167" fontId="0" fillId="0" borderId="0" xfId="0" applyAlignment="1">
      <alignment horizontal="center"/>
    </xf>
    <xf numFmtId="167" fontId="0" fillId="0" borderId="0" xfId="0" applyAlignment="1">
      <alignment wrapText="1"/>
    </xf>
    <xf numFmtId="167" fontId="0" fillId="0" borderId="0" xfId="0" applyFill="1"/>
    <xf numFmtId="169" fontId="0" fillId="7" borderId="0" xfId="0" applyNumberFormat="1" applyFill="1" applyAlignment="1">
      <alignment horizontal="center"/>
    </xf>
    <xf numFmtId="169" fontId="0" fillId="0" borderId="0" xfId="0" applyNumberFormat="1" applyAlignment="1">
      <alignment horizontal="center"/>
    </xf>
    <xf numFmtId="169" fontId="0" fillId="6" borderId="0" xfId="0" applyNumberFormat="1" applyFill="1" applyAlignment="1">
      <alignment horizontal="center"/>
    </xf>
    <xf numFmtId="1" fontId="0" fillId="0" borderId="0" xfId="0" applyNumberFormat="1" applyAlignment="1">
      <alignment wrapText="1"/>
    </xf>
    <xf numFmtId="167" fontId="2" fillId="8" borderId="14" xfId="0" applyFont="1" applyFill="1" applyBorder="1" applyAlignment="1">
      <alignment horizontal="center"/>
    </xf>
    <xf numFmtId="167" fontId="2" fillId="10" borderId="2" xfId="0" applyFont="1" applyFill="1" applyBorder="1" applyAlignment="1">
      <alignment horizontal="left"/>
    </xf>
    <xf numFmtId="167" fontId="2" fillId="10" borderId="0" xfId="0" applyFont="1" applyFill="1" applyBorder="1" applyAlignment="1">
      <alignment horizontal="left"/>
    </xf>
    <xf numFmtId="167" fontId="2" fillId="10" borderId="8" xfId="0" applyFont="1" applyFill="1" applyBorder="1"/>
    <xf numFmtId="167" fontId="2" fillId="10" borderId="0" xfId="0" applyFont="1" applyFill="1" applyBorder="1"/>
    <xf numFmtId="167" fontId="2" fillId="12" borderId="0" xfId="0" applyFont="1" applyFill="1" applyBorder="1"/>
    <xf numFmtId="167" fontId="3" fillId="12" borderId="0" xfId="0" applyFont="1" applyFill="1" applyBorder="1" applyAlignment="1">
      <alignment horizontal="right"/>
    </xf>
    <xf numFmtId="167" fontId="2" fillId="12" borderId="0" xfId="0" applyFont="1" applyFill="1" applyBorder="1" applyAlignment="1">
      <alignment horizontal="left"/>
    </xf>
    <xf numFmtId="167" fontId="2" fillId="8" borderId="14" xfId="0" applyFont="1" applyFill="1" applyBorder="1" applyAlignment="1" applyProtection="1">
      <alignment horizontal="right"/>
      <protection locked="0"/>
    </xf>
    <xf numFmtId="170" fontId="2" fillId="8" borderId="14" xfId="0" applyNumberFormat="1" applyFont="1" applyFill="1" applyBorder="1" applyProtection="1">
      <protection locked="0"/>
    </xf>
    <xf numFmtId="167" fontId="2" fillId="8" borderId="14" xfId="0" applyFont="1" applyFill="1" applyBorder="1" applyProtection="1">
      <protection locked="0"/>
    </xf>
    <xf numFmtId="169" fontId="2" fillId="8" borderId="14" xfId="0" applyNumberFormat="1" applyFont="1" applyFill="1" applyBorder="1" applyProtection="1">
      <protection locked="0"/>
    </xf>
    <xf numFmtId="167" fontId="3" fillId="0" borderId="9" xfId="0" applyFont="1" applyFill="1" applyBorder="1" applyAlignment="1">
      <alignment horizontal="left"/>
    </xf>
    <xf numFmtId="167" fontId="2" fillId="0" borderId="0" xfId="0" applyFont="1" applyAlignment="1">
      <alignment horizontal="left" vertical="top"/>
    </xf>
    <xf numFmtId="169" fontId="2" fillId="10" borderId="10" xfId="0" applyNumberFormat="1" applyFont="1" applyFill="1" applyBorder="1" applyAlignment="1" applyProtection="1">
      <alignment horizontal="right"/>
    </xf>
    <xf numFmtId="169" fontId="2" fillId="10" borderId="8" xfId="0" applyNumberFormat="1" applyFont="1" applyFill="1" applyBorder="1" applyAlignment="1" applyProtection="1">
      <alignment horizontal="right"/>
    </xf>
    <xf numFmtId="169" fontId="2" fillId="10" borderId="8" xfId="0" applyNumberFormat="1" applyFont="1" applyFill="1" applyBorder="1" applyAlignment="1">
      <alignment horizontal="right"/>
    </xf>
    <xf numFmtId="167" fontId="2" fillId="8" borderId="14" xfId="0" applyFont="1" applyFill="1" applyBorder="1" applyAlignment="1">
      <alignment horizontal="left" indent="2"/>
    </xf>
    <xf numFmtId="167" fontId="2" fillId="8" borderId="14" xfId="0" applyFont="1" applyFill="1" applyBorder="1" applyAlignment="1">
      <alignment horizontal="left" indent="1"/>
    </xf>
    <xf numFmtId="167" fontId="2" fillId="11" borderId="5" xfId="0" applyFont="1" applyFill="1" applyBorder="1"/>
    <xf numFmtId="167" fontId="3" fillId="12" borderId="2" xfId="0" applyFont="1" applyFill="1" applyBorder="1" applyAlignment="1">
      <alignment horizontal="left"/>
    </xf>
    <xf numFmtId="0" fontId="3" fillId="12" borderId="5" xfId="0" applyNumberFormat="1" applyFont="1" applyFill="1" applyBorder="1" applyAlignment="1">
      <alignment horizontal="center"/>
    </xf>
    <xf numFmtId="167" fontId="2" fillId="11" borderId="0" xfId="0" applyFont="1" applyFill="1" applyBorder="1" applyAlignment="1">
      <alignment horizontal="left"/>
    </xf>
    <xf numFmtId="167" fontId="2" fillId="11" borderId="0" xfId="0" applyFont="1" applyFill="1" applyBorder="1"/>
    <xf numFmtId="167" fontId="2" fillId="12" borderId="2" xfId="0" applyFont="1" applyFill="1" applyBorder="1"/>
    <xf numFmtId="167" fontId="2" fillId="12" borderId="5" xfId="0" applyFont="1" applyFill="1" applyBorder="1"/>
    <xf numFmtId="167" fontId="2" fillId="10" borderId="2" xfId="0" applyFont="1" applyFill="1" applyBorder="1"/>
    <xf numFmtId="165" fontId="2" fillId="8" borderId="20" xfId="0" applyNumberFormat="1" applyFont="1" applyFill="1" applyBorder="1" applyProtection="1">
      <protection locked="0"/>
    </xf>
    <xf numFmtId="167" fontId="0" fillId="4" borderId="21" xfId="0" applyFill="1" applyBorder="1"/>
    <xf numFmtId="167" fontId="0" fillId="4" borderId="22" xfId="0" applyFill="1" applyBorder="1" applyAlignment="1">
      <alignment horizontal="left"/>
    </xf>
    <xf numFmtId="167" fontId="2" fillId="4" borderId="22" xfId="0" applyFont="1" applyFill="1" applyBorder="1" applyAlignment="1">
      <alignment horizontal="left"/>
    </xf>
    <xf numFmtId="167" fontId="2" fillId="4" borderId="24" xfId="0" applyFont="1" applyFill="1" applyBorder="1" applyAlignment="1">
      <alignment horizontal="left"/>
    </xf>
    <xf numFmtId="167" fontId="0" fillId="0" borderId="9" xfId="0" applyBorder="1"/>
    <xf numFmtId="167" fontId="0" fillId="0" borderId="8" xfId="0" applyBorder="1"/>
    <xf numFmtId="167" fontId="2" fillId="0" borderId="16" xfId="0" applyFont="1" applyBorder="1"/>
    <xf numFmtId="167" fontId="2" fillId="0" borderId="17" xfId="0" applyFont="1" applyBorder="1"/>
    <xf numFmtId="167" fontId="3" fillId="8" borderId="20" xfId="0" applyFont="1" applyFill="1" applyBorder="1" applyAlignment="1">
      <alignment horizontal="left"/>
    </xf>
    <xf numFmtId="7" fontId="3" fillId="12" borderId="10" xfId="0" applyNumberFormat="1" applyFont="1" applyFill="1" applyBorder="1" applyProtection="1"/>
    <xf numFmtId="167" fontId="3" fillId="6" borderId="27" xfId="0" applyFont="1" applyFill="1" applyBorder="1" applyAlignment="1">
      <alignment horizontal="center"/>
    </xf>
    <xf numFmtId="167" fontId="2" fillId="12" borderId="8" xfId="0" applyFont="1" applyFill="1" applyBorder="1"/>
    <xf numFmtId="2" fontId="2" fillId="12" borderId="17" xfId="0" applyNumberFormat="1" applyFont="1" applyFill="1" applyBorder="1" applyAlignment="1">
      <alignment horizontal="center"/>
    </xf>
    <xf numFmtId="169" fontId="2" fillId="6" borderId="27" xfId="0" applyNumberFormat="1" applyFont="1" applyFill="1" applyBorder="1" applyProtection="1"/>
    <xf numFmtId="167" fontId="2" fillId="11" borderId="8" xfId="0" applyFont="1" applyFill="1" applyBorder="1"/>
    <xf numFmtId="167" fontId="2" fillId="0" borderId="12" xfId="0" applyFont="1" applyBorder="1"/>
    <xf numFmtId="167" fontId="2" fillId="0" borderId="13" xfId="0" applyFont="1" applyBorder="1"/>
    <xf numFmtId="167" fontId="7" fillId="0" borderId="15" xfId="0" quotePrefix="1" applyFont="1" applyFill="1" applyBorder="1" applyAlignment="1">
      <alignment horizontal="center" vertical="center"/>
    </xf>
    <xf numFmtId="167" fontId="7" fillId="0" borderId="2" xfId="0" quotePrefix="1" applyFont="1" applyFill="1" applyBorder="1" applyAlignment="1">
      <alignment horizontal="center" vertical="center"/>
    </xf>
    <xf numFmtId="167" fontId="7" fillId="0" borderId="10" xfId="0" quotePrefix="1" applyFont="1" applyFill="1" applyBorder="1" applyAlignment="1">
      <alignment horizontal="center" vertical="center"/>
    </xf>
    <xf numFmtId="167" fontId="2" fillId="11" borderId="0" xfId="0" applyFont="1" applyFill="1"/>
    <xf numFmtId="167" fontId="2" fillId="11" borderId="28" xfId="0" applyFont="1" applyFill="1" applyBorder="1"/>
    <xf numFmtId="167" fontId="3" fillId="11" borderId="29" xfId="0" applyFont="1" applyFill="1" applyBorder="1"/>
    <xf numFmtId="167" fontId="2" fillId="11" borderId="29" xfId="0" applyFont="1" applyFill="1" applyBorder="1"/>
    <xf numFmtId="169" fontId="2" fillId="6" borderId="30" xfId="0" applyNumberFormat="1" applyFont="1" applyFill="1" applyBorder="1" applyProtection="1"/>
    <xf numFmtId="167" fontId="2" fillId="11" borderId="3" xfId="0" applyFont="1" applyFill="1" applyBorder="1"/>
    <xf numFmtId="167" fontId="2" fillId="11" borderId="6" xfId="0" applyFont="1" applyFill="1" applyBorder="1"/>
    <xf numFmtId="2" fontId="2" fillId="10" borderId="8" xfId="0" applyNumberFormat="1" applyFont="1" applyFill="1" applyBorder="1" applyProtection="1"/>
    <xf numFmtId="167" fontId="2" fillId="0" borderId="31" xfId="0" applyFont="1" applyFill="1" applyBorder="1"/>
    <xf numFmtId="167" fontId="2" fillId="0" borderId="32" xfId="0" applyFont="1" applyFill="1" applyBorder="1"/>
    <xf numFmtId="167" fontId="2" fillId="0" borderId="33" xfId="0" applyFont="1" applyFill="1" applyBorder="1"/>
    <xf numFmtId="167" fontId="3" fillId="11" borderId="0" xfId="0" applyFont="1" applyFill="1" applyBorder="1"/>
    <xf numFmtId="167" fontId="3" fillId="9" borderId="25" xfId="0" applyFont="1" applyFill="1" applyBorder="1" applyAlignment="1">
      <alignment horizontal="left"/>
    </xf>
    <xf numFmtId="167" fontId="3" fillId="9" borderId="23" xfId="0" applyFont="1" applyFill="1" applyBorder="1" applyAlignment="1">
      <alignment horizontal="left"/>
    </xf>
    <xf numFmtId="0" fontId="2" fillId="13" borderId="9" xfId="0" applyNumberFormat="1" applyFont="1" applyFill="1" applyBorder="1" applyAlignment="1">
      <alignment horizontal="center"/>
    </xf>
    <xf numFmtId="0" fontId="2" fillId="13" borderId="8" xfId="0" applyNumberFormat="1" applyFont="1" applyFill="1" applyBorder="1" applyAlignment="1">
      <alignment horizontal="center"/>
    </xf>
    <xf numFmtId="0" fontId="2" fillId="13" borderId="15" xfId="0" applyNumberFormat="1" applyFont="1" applyFill="1" applyBorder="1" applyAlignment="1">
      <alignment horizontal="center"/>
    </xf>
    <xf numFmtId="167" fontId="2" fillId="0" borderId="10" xfId="0" applyFont="1" applyBorder="1" applyAlignment="1">
      <alignment horizontal="center"/>
    </xf>
    <xf numFmtId="167" fontId="0" fillId="0" borderId="13" xfId="0" applyBorder="1" applyAlignment="1" applyProtection="1">
      <alignment horizontal="left"/>
      <protection locked="0"/>
    </xf>
    <xf numFmtId="1" fontId="0" fillId="0" borderId="7" xfId="0" applyNumberFormat="1" applyBorder="1" applyAlignment="1" applyProtection="1">
      <alignment horizontal="left"/>
      <protection locked="0"/>
    </xf>
    <xf numFmtId="167" fontId="3" fillId="9" borderId="18" xfId="0" applyFont="1" applyFill="1" applyBorder="1" applyAlignment="1">
      <alignment horizontal="left"/>
    </xf>
    <xf numFmtId="167" fontId="3" fillId="9" borderId="19" xfId="0" applyFont="1" applyFill="1" applyBorder="1" applyAlignment="1">
      <alignment horizontal="left"/>
    </xf>
    <xf numFmtId="167" fontId="7" fillId="3" borderId="25" xfId="0" quotePrefix="1" applyFont="1" applyFill="1" applyBorder="1" applyAlignment="1">
      <alignment horizontal="center" vertical="center"/>
    </xf>
    <xf numFmtId="167" fontId="7" fillId="3" borderId="26" xfId="0" quotePrefix="1" applyFont="1" applyFill="1" applyBorder="1" applyAlignment="1">
      <alignment horizontal="center" vertical="center"/>
    </xf>
    <xf numFmtId="167" fontId="7" fillId="3" borderId="23" xfId="0" quotePrefix="1" applyFont="1" applyFill="1" applyBorder="1" applyAlignment="1">
      <alignment horizontal="center" vertical="center"/>
    </xf>
    <xf numFmtId="167" fontId="0" fillId="7" borderId="0" xfId="0" applyFill="1" applyAlignment="1">
      <alignment horizontal="center" wrapText="1"/>
    </xf>
    <xf numFmtId="167" fontId="0" fillId="0" borderId="0" xfId="0" applyFill="1" applyAlignment="1">
      <alignment horizontal="center"/>
    </xf>
    <xf numFmtId="167" fontId="4" fillId="0" borderId="9" xfId="0" applyFont="1" applyBorder="1" applyAlignment="1">
      <alignment horizontal="left" vertical="top" wrapText="1"/>
    </xf>
    <xf numFmtId="167" fontId="4" fillId="0" borderId="0" xfId="0" applyFont="1" applyBorder="1" applyAlignment="1">
      <alignment horizontal="left" vertical="top" wrapText="1"/>
    </xf>
    <xf numFmtId="167" fontId="4" fillId="0" borderId="8" xfId="0" applyFont="1" applyBorder="1" applyAlignment="1">
      <alignment horizontal="left" vertical="top" wrapText="1"/>
    </xf>
    <xf numFmtId="167" fontId="0" fillId="0" borderId="0" xfId="0" applyAlignment="1">
      <alignment horizontal="center"/>
    </xf>
    <xf numFmtId="167" fontId="0" fillId="7" borderId="0" xfId="0" applyFill="1" applyAlignment="1">
      <alignment horizontal="center"/>
    </xf>
  </cellXfs>
  <cellStyles count="2">
    <cellStyle name="Normal" xfId="0" builtinId="0"/>
    <cellStyle name="Normal_PAYCL2009 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showGridLines="0" tabSelected="1" topLeftCell="A4" zoomScaleNormal="100" workbookViewId="0">
      <selection activeCell="B6" sqref="B6"/>
    </sheetView>
  </sheetViews>
  <sheetFormatPr defaultRowHeight="15"/>
  <cols>
    <col min="1" max="1" width="27.77734375" customWidth="1"/>
    <col min="2" max="2" width="13.109375" customWidth="1"/>
    <col min="3" max="3" width="1.77734375" customWidth="1"/>
    <col min="4" max="4" width="4.77734375" customWidth="1"/>
    <col min="5" max="5" width="26.77734375" customWidth="1"/>
    <col min="6" max="6" width="10.21875" bestFit="1" customWidth="1"/>
    <col min="7" max="7" width="10.5546875" hidden="1" customWidth="1"/>
    <col min="8" max="8" width="9.88671875" hidden="1" customWidth="1"/>
    <col min="9" max="9" width="16.77734375" hidden="1" customWidth="1"/>
    <col min="10" max="10" width="13.88671875" hidden="1" customWidth="1"/>
    <col min="11" max="11" width="12.44140625" hidden="1" customWidth="1"/>
    <col min="12" max="12" width="5.88671875" hidden="1" customWidth="1"/>
    <col min="13" max="13" width="17.21875" hidden="1" customWidth="1"/>
    <col min="14" max="14" width="16.109375" hidden="1" customWidth="1"/>
    <col min="15" max="15" width="7" hidden="1" customWidth="1"/>
    <col min="16" max="16" width="16.5546875" hidden="1" customWidth="1"/>
    <col min="17" max="17" width="52.88671875" hidden="1" customWidth="1"/>
    <col min="18" max="25" width="8.88671875" hidden="1" customWidth="1"/>
  </cols>
  <sheetData>
    <row r="1" spans="1:17" ht="33" customHeight="1" thickBot="1">
      <c r="A1" s="129" t="s">
        <v>121</v>
      </c>
      <c r="B1" s="130"/>
      <c r="C1" s="130"/>
      <c r="D1" s="130"/>
      <c r="E1" s="130"/>
      <c r="F1" s="131"/>
      <c r="G1" t="s">
        <v>105</v>
      </c>
      <c r="M1" s="23" t="s">
        <v>0</v>
      </c>
      <c r="N1" s="1" t="s">
        <v>1</v>
      </c>
      <c r="O1" s="2"/>
      <c r="P1" s="1" t="s">
        <v>2</v>
      </c>
    </row>
    <row r="2" spans="1:17" ht="15.6" customHeight="1">
      <c r="A2" s="104"/>
      <c r="B2" s="105"/>
      <c r="C2" s="105"/>
      <c r="D2" s="105"/>
      <c r="E2" s="105"/>
      <c r="F2" s="106"/>
      <c r="G2" t="s">
        <v>106</v>
      </c>
      <c r="M2" s="1" t="s">
        <v>3</v>
      </c>
      <c r="N2" s="1" t="s">
        <v>91</v>
      </c>
      <c r="O2" s="3" t="s">
        <v>4</v>
      </c>
    </row>
    <row r="3" spans="1:17">
      <c r="A3" s="91" t="s">
        <v>102</v>
      </c>
      <c r="B3" s="125"/>
      <c r="C3" s="125"/>
      <c r="D3" s="125"/>
      <c r="E3" s="33"/>
      <c r="F3" s="92"/>
      <c r="M3" s="6">
        <v>0</v>
      </c>
      <c r="N3" s="6">
        <v>0</v>
      </c>
      <c r="O3" s="2">
        <v>0</v>
      </c>
      <c r="P3" s="1" t="s">
        <v>5</v>
      </c>
      <c r="Q3" s="1" t="s">
        <v>6</v>
      </c>
    </row>
    <row r="4" spans="1:17" s="10" customFormat="1">
      <c r="A4" s="91" t="s">
        <v>103</v>
      </c>
      <c r="B4" s="126"/>
      <c r="C4" s="126"/>
      <c r="D4" s="126"/>
      <c r="E4" s="33"/>
      <c r="F4" s="92"/>
      <c r="H4" s="8" t="s">
        <v>8</v>
      </c>
      <c r="M4" s="6">
        <v>2250</v>
      </c>
      <c r="N4" s="6">
        <v>0</v>
      </c>
      <c r="O4" s="2">
        <v>0.1</v>
      </c>
    </row>
    <row r="5" spans="1:17" s="10" customFormat="1" ht="15.75" thickBot="1">
      <c r="A5" s="93"/>
      <c r="B5" s="34"/>
      <c r="C5" s="34"/>
      <c r="D5" s="34"/>
      <c r="E5" s="34"/>
      <c r="F5" s="94"/>
      <c r="H5" s="9">
        <f>IF((B8=H4),2,0)</f>
        <v>0</v>
      </c>
      <c r="K5" s="8" t="s">
        <v>9</v>
      </c>
      <c r="M5" s="6">
        <v>11325</v>
      </c>
      <c r="N5" s="6">
        <v>907.5</v>
      </c>
      <c r="O5" s="2">
        <v>0.15</v>
      </c>
      <c r="P5" s="8" t="s">
        <v>10</v>
      </c>
      <c r="Q5" s="8" t="s">
        <v>11</v>
      </c>
    </row>
    <row r="6" spans="1:17" s="10" customFormat="1" ht="15.75" thickBot="1">
      <c r="A6" s="95" t="s">
        <v>7</v>
      </c>
      <c r="B6" s="86">
        <v>1</v>
      </c>
      <c r="C6" s="87"/>
      <c r="D6" s="83"/>
      <c r="E6" s="79"/>
      <c r="F6" s="96"/>
      <c r="G6" s="21"/>
      <c r="H6" s="8" t="s">
        <v>8</v>
      </c>
      <c r="K6" s="8" t="s">
        <v>9</v>
      </c>
      <c r="M6" s="6">
        <v>39150</v>
      </c>
      <c r="N6" s="6">
        <v>5081.25</v>
      </c>
      <c r="O6" s="2">
        <v>0.25</v>
      </c>
      <c r="Q6" s="8" t="s">
        <v>130</v>
      </c>
    </row>
    <row r="7" spans="1:17" s="10" customFormat="1" ht="15.75" thickBot="1">
      <c r="A7" s="127" t="s">
        <v>12</v>
      </c>
      <c r="B7" s="128"/>
      <c r="C7" s="88"/>
      <c r="D7" s="64" t="s">
        <v>107</v>
      </c>
      <c r="E7" s="64"/>
      <c r="F7" s="97" t="str">
        <f>IF((F21&gt;=F26),G1,G2)</f>
        <v>YES</v>
      </c>
      <c r="H7" s="13">
        <f>IF((B10=H6),1,0)</f>
        <v>0</v>
      </c>
      <c r="K7" s="8" t="s">
        <v>9</v>
      </c>
      <c r="M7" s="6">
        <v>91600</v>
      </c>
      <c r="N7" s="6">
        <v>18193.75</v>
      </c>
      <c r="O7" s="2">
        <v>0.28000000000000003</v>
      </c>
      <c r="Q7" s="8" t="s">
        <v>13</v>
      </c>
    </row>
    <row r="8" spans="1:17" s="10" customFormat="1">
      <c r="A8" s="76" t="s">
        <v>128</v>
      </c>
      <c r="B8" s="67" t="s">
        <v>148</v>
      </c>
      <c r="C8" s="89"/>
      <c r="D8" s="64"/>
      <c r="E8" s="65"/>
      <c r="F8" s="98"/>
      <c r="H8" s="9">
        <f>H7</f>
        <v>0</v>
      </c>
      <c r="I8" s="11">
        <f t="shared" ref="I8" si="0">CHOOSE($H$8+1,M3,M15,M21,M30)</f>
        <v>0</v>
      </c>
      <c r="J8" s="11">
        <f t="shared" ref="J8" si="1">CHOOSE($H$8+1,M3,M15,M21,M30)</f>
        <v>0</v>
      </c>
      <c r="K8" s="11">
        <f t="shared" ref="K8" si="2">CHOOSE($H$8+1,N3,N15,N21,N30)</f>
        <v>0</v>
      </c>
      <c r="L8" s="10">
        <f t="shared" ref="L8" si="3">CHOOSE($H$8+1,O3,O15,O21,O30)</f>
        <v>0</v>
      </c>
      <c r="M8" s="6">
        <v>188600</v>
      </c>
      <c r="N8" s="6">
        <v>45353.75</v>
      </c>
      <c r="O8" s="2">
        <v>0.33</v>
      </c>
    </row>
    <row r="9" spans="1:17" s="10" customFormat="1">
      <c r="A9" s="127" t="s">
        <v>14</v>
      </c>
      <c r="B9" s="128"/>
      <c r="C9" s="89"/>
      <c r="D9" s="64"/>
      <c r="E9" s="64" t="s">
        <v>150</v>
      </c>
      <c r="F9" s="98"/>
      <c r="H9" s="10">
        <f>N84/H15</f>
        <v>151.92307692307693</v>
      </c>
      <c r="I9" s="11">
        <f t="shared" ref="I9:I17" si="4">CHOOSE($H$8+1,M4,M16,M22,M32)</f>
        <v>2250</v>
      </c>
      <c r="J9" s="11">
        <f t="shared" ref="J9:J17" si="5">CHOOSE($H$8+1,M4,M16,M22,M32)</f>
        <v>2250</v>
      </c>
      <c r="K9" s="11">
        <f t="shared" ref="K9:K17" si="6">CHOOSE($H$8+1,N4,N16,N22,N32)</f>
        <v>0</v>
      </c>
      <c r="L9" s="10">
        <f t="shared" ref="L9:L17" si="7">CHOOSE($H$8+1,O4,O16,O22,O32)</f>
        <v>0.1</v>
      </c>
      <c r="M9" s="6">
        <v>407350</v>
      </c>
      <c r="N9" s="6">
        <v>117541.25</v>
      </c>
      <c r="O9" s="2">
        <v>0.35</v>
      </c>
      <c r="P9" s="8" t="s">
        <v>15</v>
      </c>
      <c r="Q9" s="8" t="s">
        <v>16</v>
      </c>
    </row>
    <row r="10" spans="1:17" s="10" customFormat="1">
      <c r="A10" s="76" t="s">
        <v>127</v>
      </c>
      <c r="B10" s="67" t="s">
        <v>154</v>
      </c>
      <c r="C10" s="89"/>
      <c r="D10" s="64"/>
      <c r="E10" s="66" t="s">
        <v>135</v>
      </c>
      <c r="F10" s="98"/>
      <c r="H10" s="14">
        <f>IF(H14&lt;0,0,H16)</f>
        <v>25338.525759999997</v>
      </c>
      <c r="I10" s="11">
        <f t="shared" si="4"/>
        <v>11325</v>
      </c>
      <c r="J10" s="11">
        <f t="shared" si="5"/>
        <v>11325</v>
      </c>
      <c r="K10" s="11">
        <f t="shared" si="6"/>
        <v>907.5</v>
      </c>
      <c r="L10" s="10">
        <f t="shared" si="7"/>
        <v>0.15</v>
      </c>
      <c r="M10" s="6">
        <v>409000</v>
      </c>
      <c r="N10" s="6">
        <v>118118.75</v>
      </c>
      <c r="O10" s="2">
        <v>0.39600000000000002</v>
      </c>
      <c r="Q10" s="8" t="s">
        <v>131</v>
      </c>
    </row>
    <row r="11" spans="1:17" s="10" customFormat="1">
      <c r="A11" s="127" t="s">
        <v>20</v>
      </c>
      <c r="B11" s="128"/>
      <c r="C11" s="89"/>
      <c r="D11" s="64"/>
      <c r="E11" s="64" t="s">
        <v>136</v>
      </c>
      <c r="F11" s="98"/>
      <c r="H11" s="8" t="s">
        <v>17</v>
      </c>
      <c r="I11" s="11">
        <f t="shared" si="4"/>
        <v>39150</v>
      </c>
      <c r="J11" s="11">
        <f t="shared" si="5"/>
        <v>39150</v>
      </c>
      <c r="K11" s="11">
        <f t="shared" si="6"/>
        <v>5081.25</v>
      </c>
      <c r="L11" s="10">
        <f t="shared" si="7"/>
        <v>0.25</v>
      </c>
      <c r="M11" s="6">
        <v>9999999999</v>
      </c>
      <c r="N11" s="6">
        <v>9999999999</v>
      </c>
      <c r="O11" s="2">
        <v>1</v>
      </c>
      <c r="Q11" s="8" t="s">
        <v>19</v>
      </c>
    </row>
    <row r="12" spans="1:17" s="10" customFormat="1" ht="15.75" thickBot="1">
      <c r="A12" s="77" t="s">
        <v>22</v>
      </c>
      <c r="B12" s="68">
        <v>15.536</v>
      </c>
      <c r="C12" s="89"/>
      <c r="D12" s="84"/>
      <c r="E12" s="80"/>
      <c r="F12" s="99"/>
      <c r="H12" s="14">
        <f>IF(B18=H11,F16,0)</f>
        <v>59.658239999999992</v>
      </c>
      <c r="I12" s="11">
        <f t="shared" si="4"/>
        <v>91600</v>
      </c>
      <c r="J12" s="11">
        <f t="shared" si="5"/>
        <v>91600</v>
      </c>
      <c r="K12" s="11">
        <f t="shared" si="6"/>
        <v>18193.75</v>
      </c>
      <c r="L12" s="10">
        <f t="shared" si="7"/>
        <v>0.28000000000000003</v>
      </c>
      <c r="M12" s="6">
        <v>9999999999</v>
      </c>
      <c r="N12" s="6">
        <v>9999999999</v>
      </c>
      <c r="O12" s="2">
        <v>1</v>
      </c>
    </row>
    <row r="13" spans="1:17" s="10" customFormat="1" ht="15.75" thickBot="1">
      <c r="A13" s="77" t="s">
        <v>25</v>
      </c>
      <c r="B13" s="69">
        <v>80</v>
      </c>
      <c r="C13" s="89"/>
      <c r="D13" s="37"/>
      <c r="E13" s="47"/>
      <c r="F13" s="48"/>
      <c r="I13" s="11">
        <f t="shared" si="4"/>
        <v>188600</v>
      </c>
      <c r="J13" s="11">
        <f t="shared" si="5"/>
        <v>188600</v>
      </c>
      <c r="K13" s="11">
        <f t="shared" si="6"/>
        <v>45353.75</v>
      </c>
      <c r="L13" s="10">
        <f t="shared" si="7"/>
        <v>0.33</v>
      </c>
      <c r="M13"/>
      <c r="N13"/>
      <c r="O13"/>
      <c r="P13" s="8" t="s">
        <v>23</v>
      </c>
      <c r="Q13" s="8" t="s">
        <v>24</v>
      </c>
    </row>
    <row r="14" spans="1:17" s="10" customFormat="1">
      <c r="A14" s="77" t="s">
        <v>28</v>
      </c>
      <c r="B14" s="70">
        <v>0</v>
      </c>
      <c r="C14" s="89"/>
      <c r="D14" s="85"/>
      <c r="E14" s="60"/>
      <c r="F14" s="73"/>
      <c r="H14" s="10">
        <f>F15-(H9*B6)-H12-F18-F17</f>
        <v>974.55868307692299</v>
      </c>
      <c r="I14" s="11">
        <f t="shared" si="4"/>
        <v>407350</v>
      </c>
      <c r="J14" s="11">
        <f t="shared" si="5"/>
        <v>407350</v>
      </c>
      <c r="K14" s="11">
        <f t="shared" si="6"/>
        <v>117541.25</v>
      </c>
      <c r="L14" s="10">
        <f t="shared" si="7"/>
        <v>0.35</v>
      </c>
      <c r="M14" s="7" t="s">
        <v>3</v>
      </c>
      <c r="N14" s="7" t="s">
        <v>91</v>
      </c>
      <c r="O14" s="3" t="s">
        <v>18</v>
      </c>
      <c r="P14" s="8" t="s">
        <v>26</v>
      </c>
      <c r="Q14" s="8" t="s">
        <v>132</v>
      </c>
    </row>
    <row r="15" spans="1:17" s="10" customFormat="1">
      <c r="A15" s="77" t="s">
        <v>30</v>
      </c>
      <c r="B15" s="70">
        <v>0</v>
      </c>
      <c r="C15" s="89"/>
      <c r="D15" s="63"/>
      <c r="E15" s="61" t="s">
        <v>20</v>
      </c>
      <c r="F15" s="74">
        <f>B12*B13</f>
        <v>1242.8799999999999</v>
      </c>
      <c r="H15" s="18">
        <f>IF(B$8="b",26,IF(B$8="M",12,1))</f>
        <v>26</v>
      </c>
      <c r="I15" s="11">
        <f t="shared" si="4"/>
        <v>409000</v>
      </c>
      <c r="J15" s="11">
        <f t="shared" si="5"/>
        <v>409000</v>
      </c>
      <c r="K15" s="11">
        <f t="shared" si="6"/>
        <v>118118.75</v>
      </c>
      <c r="L15" s="10">
        <f t="shared" si="7"/>
        <v>0.39600000000000002</v>
      </c>
      <c r="M15" s="6">
        <v>0</v>
      </c>
      <c r="N15" s="6">
        <v>0</v>
      </c>
      <c r="O15" s="2">
        <v>0</v>
      </c>
      <c r="P15" s="8" t="s">
        <v>27</v>
      </c>
      <c r="Q15" s="8" t="s">
        <v>133</v>
      </c>
    </row>
    <row r="16" spans="1:17" s="10" customFormat="1">
      <c r="A16" s="127" t="s">
        <v>21</v>
      </c>
      <c r="B16" s="128"/>
      <c r="C16" s="89"/>
      <c r="D16" s="63"/>
      <c r="E16" s="61" t="s">
        <v>21</v>
      </c>
      <c r="F16" s="74">
        <f>GRW*0.048</f>
        <v>59.658239999999992</v>
      </c>
      <c r="H16" s="10">
        <f>H14*H15</f>
        <v>25338.525759999997</v>
      </c>
      <c r="I16" s="11">
        <f t="shared" si="4"/>
        <v>9999999999</v>
      </c>
      <c r="J16" s="11">
        <f t="shared" si="5"/>
        <v>9999999999</v>
      </c>
      <c r="K16" s="11">
        <f t="shared" si="6"/>
        <v>9999999999</v>
      </c>
      <c r="L16" s="10">
        <f t="shared" si="7"/>
        <v>1</v>
      </c>
      <c r="M16" s="6">
        <v>8450</v>
      </c>
      <c r="N16" s="6">
        <v>0</v>
      </c>
      <c r="O16" s="2">
        <v>0.1</v>
      </c>
      <c r="Q16" s="8" t="s">
        <v>29</v>
      </c>
    </row>
    <row r="17" spans="1:17" s="10" customFormat="1" ht="15.75" thickBot="1">
      <c r="A17" s="77" t="s">
        <v>146</v>
      </c>
      <c r="B17" s="69"/>
      <c r="C17" s="89"/>
      <c r="D17" s="63"/>
      <c r="E17" s="61" t="s">
        <v>31</v>
      </c>
      <c r="F17" s="75">
        <f>B20</f>
        <v>0</v>
      </c>
      <c r="I17" s="11">
        <f t="shared" si="4"/>
        <v>9999999999</v>
      </c>
      <c r="J17" s="11">
        <f t="shared" si="5"/>
        <v>9999999999</v>
      </c>
      <c r="K17" s="11">
        <f t="shared" si="6"/>
        <v>9999999999</v>
      </c>
      <c r="L17" s="10">
        <f t="shared" si="7"/>
        <v>1</v>
      </c>
      <c r="M17" s="6">
        <v>26600</v>
      </c>
      <c r="N17" s="6">
        <v>1815</v>
      </c>
      <c r="O17" s="2">
        <v>0.15</v>
      </c>
    </row>
    <row r="18" spans="1:17" s="10" customFormat="1">
      <c r="A18" s="76" t="s">
        <v>129</v>
      </c>
      <c r="B18" s="67" t="s">
        <v>120</v>
      </c>
      <c r="C18" s="89"/>
      <c r="D18" s="63"/>
      <c r="E18" s="61" t="s">
        <v>100</v>
      </c>
      <c r="F18" s="75">
        <f>SUM(B22:B28)</f>
        <v>56.739999999999995</v>
      </c>
      <c r="G18" s="24"/>
      <c r="H18" s="24"/>
      <c r="I18" s="123" t="s">
        <v>95</v>
      </c>
      <c r="J18" s="124"/>
      <c r="K18" s="25"/>
      <c r="M18" s="6">
        <v>82250</v>
      </c>
      <c r="N18" s="6">
        <v>10162.5</v>
      </c>
      <c r="O18" s="2">
        <v>0.25</v>
      </c>
      <c r="P18" s="8" t="s">
        <v>32</v>
      </c>
      <c r="Q18" s="8" t="s">
        <v>33</v>
      </c>
    </row>
    <row r="19" spans="1:17" s="10" customFormat="1">
      <c r="A19" s="59" t="s">
        <v>134</v>
      </c>
      <c r="B19" s="69">
        <v>4.8</v>
      </c>
      <c r="C19" s="89"/>
      <c r="D19" s="61"/>
      <c r="E19" s="61" t="s">
        <v>152</v>
      </c>
      <c r="F19" s="74">
        <f>F15-F16-F18-B20</f>
        <v>1126.4817599999999</v>
      </c>
      <c r="G19" s="20"/>
      <c r="H19" s="20"/>
      <c r="I19" s="26" t="s">
        <v>96</v>
      </c>
      <c r="J19" s="27">
        <v>435</v>
      </c>
      <c r="K19" s="28" t="s">
        <v>97</v>
      </c>
      <c r="M19" s="6">
        <v>157300</v>
      </c>
      <c r="N19" s="6">
        <v>28925</v>
      </c>
      <c r="O19" s="2">
        <v>0.28000000000000003</v>
      </c>
      <c r="P19" s="8" t="s">
        <v>26</v>
      </c>
      <c r="Q19" s="8" t="s">
        <v>34</v>
      </c>
    </row>
    <row r="20" spans="1:17" s="10" customFormat="1" ht="15.75" thickBot="1">
      <c r="A20" s="77" t="s">
        <v>41</v>
      </c>
      <c r="B20" s="70">
        <v>0</v>
      </c>
      <c r="C20" s="89"/>
      <c r="D20" s="63"/>
      <c r="E20" s="63"/>
      <c r="F20" s="62"/>
      <c r="G20" s="20"/>
      <c r="H20" s="20"/>
      <c r="I20" s="26" t="s">
        <v>98</v>
      </c>
      <c r="J20" s="27">
        <v>942.5</v>
      </c>
      <c r="K20" s="28" t="s">
        <v>97</v>
      </c>
      <c r="M20" s="6">
        <v>235300</v>
      </c>
      <c r="N20" s="6">
        <v>50765</v>
      </c>
      <c r="O20" s="2">
        <v>0.33</v>
      </c>
      <c r="P20" s="8" t="s">
        <v>35</v>
      </c>
    </row>
    <row r="21" spans="1:17" s="10" customFormat="1" ht="15.75" thickBot="1">
      <c r="A21" s="127" t="s">
        <v>147</v>
      </c>
      <c r="B21" s="128"/>
      <c r="C21" s="89"/>
      <c r="D21" s="63"/>
      <c r="E21" s="61" t="s">
        <v>104</v>
      </c>
      <c r="F21" s="100">
        <f>ROUND((((((H46-VLOOKUP(H46,I41:L49,2)))*VLOOKUP(H46,I41:L49,4))+VLOOKUP(H46,I41:L49,3))/H48)+B15,2)</f>
        <v>37.11</v>
      </c>
      <c r="G21" s="20"/>
      <c r="H21" s="20"/>
      <c r="I21" s="22"/>
      <c r="J21" s="22"/>
      <c r="K21" s="28"/>
      <c r="M21" s="6">
        <v>413550</v>
      </c>
      <c r="N21" s="6">
        <v>109587.5</v>
      </c>
      <c r="O21" s="2">
        <v>0.35</v>
      </c>
      <c r="P21" s="8" t="s">
        <v>36</v>
      </c>
      <c r="Q21" s="8" t="s">
        <v>37</v>
      </c>
    </row>
    <row r="22" spans="1:17" s="10" customFormat="1" ht="15.75" thickBot="1">
      <c r="A22" s="77" t="s">
        <v>122</v>
      </c>
      <c r="B22" s="70"/>
      <c r="C22" s="89"/>
      <c r="D22" s="63"/>
      <c r="E22" s="63"/>
      <c r="F22" s="114"/>
      <c r="G22" s="20"/>
      <c r="H22" s="20"/>
      <c r="I22" s="121" t="s">
        <v>99</v>
      </c>
      <c r="J22" s="122"/>
      <c r="K22" s="28"/>
      <c r="M22" s="6">
        <v>466050</v>
      </c>
      <c r="N22" s="6">
        <v>127962.5</v>
      </c>
      <c r="O22" s="2">
        <v>0.39600000000000002</v>
      </c>
      <c r="Q22" s="8" t="s">
        <v>38</v>
      </c>
    </row>
    <row r="23" spans="1:17" s="10" customFormat="1" ht="15.75" thickBot="1">
      <c r="A23" s="77" t="s">
        <v>123</v>
      </c>
      <c r="B23" s="70">
        <v>34.159999999999997</v>
      </c>
      <c r="C23" s="89"/>
      <c r="D23" s="115"/>
      <c r="E23" s="116"/>
      <c r="F23" s="117"/>
      <c r="G23" s="35">
        <v>788.97</v>
      </c>
      <c r="H23" s="22"/>
      <c r="I23" s="26" t="s">
        <v>96</v>
      </c>
      <c r="J23" s="27">
        <v>580</v>
      </c>
      <c r="K23" s="28" t="s">
        <v>97</v>
      </c>
      <c r="M23" s="6">
        <v>999999999</v>
      </c>
      <c r="N23" s="6">
        <v>999999999</v>
      </c>
      <c r="O23" s="2">
        <v>1</v>
      </c>
    </row>
    <row r="24" spans="1:17" s="10" customFormat="1">
      <c r="A24" s="77" t="s">
        <v>126</v>
      </c>
      <c r="B24" s="70">
        <v>2.58</v>
      </c>
      <c r="C24" s="89"/>
      <c r="D24" s="107"/>
      <c r="E24" s="107"/>
      <c r="F24" s="101"/>
      <c r="G24" s="36"/>
      <c r="H24" s="22"/>
      <c r="I24" s="26" t="s">
        <v>98</v>
      </c>
      <c r="J24" s="27">
        <v>1256.6600000000001</v>
      </c>
      <c r="K24" s="28" t="s">
        <v>97</v>
      </c>
      <c r="M24" s="6">
        <v>999999999999</v>
      </c>
      <c r="N24" s="6">
        <v>99999999999</v>
      </c>
      <c r="O24" s="2">
        <v>1</v>
      </c>
      <c r="P24" s="8" t="s">
        <v>39</v>
      </c>
      <c r="Q24" s="8" t="s">
        <v>40</v>
      </c>
    </row>
    <row r="25" spans="1:17" s="10" customFormat="1" ht="15.75" thickBot="1">
      <c r="A25" s="77" t="s">
        <v>124</v>
      </c>
      <c r="B25" s="70">
        <v>20</v>
      </c>
      <c r="C25" s="89"/>
      <c r="D25" s="110"/>
      <c r="E25" s="81"/>
      <c r="F25" s="101"/>
      <c r="G25" s="36">
        <f>IF(F12-J19&lt;=0,0,F12)</f>
        <v>0</v>
      </c>
      <c r="H25" s="22"/>
      <c r="I25" s="20"/>
      <c r="J25" s="20"/>
      <c r="K25" s="28"/>
      <c r="M25" s="6"/>
      <c r="N25" s="6"/>
      <c r="O25" s="2"/>
      <c r="Q25" s="8" t="s">
        <v>42</v>
      </c>
    </row>
    <row r="26" spans="1:17" s="10" customFormat="1" ht="13.5" thickBot="1">
      <c r="A26" s="77" t="s">
        <v>101</v>
      </c>
      <c r="B26" s="70"/>
      <c r="C26" s="89"/>
      <c r="D26" s="109" t="s">
        <v>153</v>
      </c>
      <c r="E26" s="118" t="s">
        <v>151</v>
      </c>
      <c r="F26" s="111">
        <f>IF(K58&gt;0,K58,0)</f>
        <v>8.3972263999999974</v>
      </c>
      <c r="G26" s="36">
        <f>IF(F12-J23&gt;=0,0.25*F12,G25-J19)</f>
        <v>-435</v>
      </c>
      <c r="H26" s="22">
        <f>IF(G25&lt;ABS(G26),G25,G26)</f>
        <v>0</v>
      </c>
      <c r="I26" s="20"/>
      <c r="J26" s="20"/>
      <c r="K26" s="28"/>
      <c r="M26" s="11"/>
      <c r="N26" s="11"/>
      <c r="O26" s="12"/>
      <c r="Q26" s="8" t="s">
        <v>43</v>
      </c>
    </row>
    <row r="27" spans="1:17" s="10" customFormat="1" ht="12.75">
      <c r="A27" s="77" t="s">
        <v>125</v>
      </c>
      <c r="B27" s="70"/>
      <c r="C27" s="89"/>
      <c r="D27" s="82"/>
      <c r="E27" s="81"/>
      <c r="F27" s="112"/>
      <c r="G27" s="22">
        <f>IF(F12-J23&gt;=0,0.15*F12,G25-J19)</f>
        <v>-435</v>
      </c>
      <c r="H27" s="22"/>
      <c r="I27" s="20"/>
      <c r="J27" s="20"/>
      <c r="K27" s="28"/>
      <c r="M27" s="11"/>
      <c r="N27" s="11"/>
      <c r="O27" s="12"/>
    </row>
    <row r="28" spans="1:17" s="10" customFormat="1" ht="13.5" thickBot="1">
      <c r="A28" s="119"/>
      <c r="B28" s="120"/>
      <c r="C28" s="90"/>
      <c r="D28" s="108"/>
      <c r="E28" s="78"/>
      <c r="F28" s="113"/>
      <c r="G28" s="22">
        <f>IF(F12-J23&gt;=0,G25-J19,0.15*F12)</f>
        <v>0</v>
      </c>
      <c r="H28" s="29">
        <f>MIN(G25,G28,ABS(G27))</f>
        <v>0</v>
      </c>
      <c r="I28" s="20"/>
      <c r="J28" s="20"/>
      <c r="K28" s="28"/>
      <c r="M28" s="11"/>
      <c r="N28" s="11"/>
      <c r="O28" s="12"/>
      <c r="P28" s="8" t="s">
        <v>44</v>
      </c>
      <c r="Q28" s="8" t="s">
        <v>45</v>
      </c>
    </row>
    <row r="29" spans="1:17" s="10" customFormat="1" ht="12.75">
      <c r="A29" s="44"/>
      <c r="B29" s="51"/>
      <c r="C29" s="38"/>
      <c r="D29" s="37"/>
      <c r="E29" s="39"/>
      <c r="F29" s="40"/>
      <c r="G29" s="36"/>
      <c r="H29" s="22"/>
      <c r="I29" s="20"/>
      <c r="J29" s="20"/>
      <c r="K29" s="28"/>
      <c r="M29" s="16"/>
      <c r="N29" s="16"/>
      <c r="O29" s="17"/>
      <c r="Q29" s="8" t="s">
        <v>46</v>
      </c>
    </row>
    <row r="30" spans="1:17" s="10" customFormat="1" ht="12.75">
      <c r="A30" s="71" t="s">
        <v>108</v>
      </c>
      <c r="B30" s="46"/>
      <c r="C30" s="38"/>
      <c r="D30" s="37"/>
      <c r="E30" s="39"/>
      <c r="F30" s="41"/>
      <c r="G30" s="36">
        <f>IF(F12-J20&lt;=0,0,F12)</f>
        <v>0</v>
      </c>
      <c r="H30" s="22"/>
      <c r="I30" s="20"/>
      <c r="J30" s="20"/>
      <c r="K30" s="28"/>
      <c r="M30" s="11"/>
      <c r="N30" s="11"/>
      <c r="O30" s="12"/>
    </row>
    <row r="31" spans="1:17" s="10" customFormat="1" ht="12.75">
      <c r="A31" s="45"/>
      <c r="B31" s="46"/>
      <c r="C31" s="38"/>
      <c r="D31" s="37"/>
      <c r="E31" s="42"/>
      <c r="F31" s="43"/>
      <c r="G31" s="36"/>
      <c r="H31" s="22"/>
      <c r="I31" s="20"/>
      <c r="J31" s="20"/>
      <c r="K31" s="28"/>
      <c r="M31" s="11"/>
      <c r="N31" s="11"/>
      <c r="O31" s="12"/>
    </row>
    <row r="32" spans="1:17" s="10" customFormat="1" ht="12.75">
      <c r="A32" s="134" t="s">
        <v>145</v>
      </c>
      <c r="B32" s="135"/>
      <c r="C32" s="135"/>
      <c r="D32" s="135"/>
      <c r="E32" s="135"/>
      <c r="F32" s="136"/>
      <c r="G32" s="36">
        <f>IF(F12-J24&gt;=0,0.25*F12,G30-J20)</f>
        <v>-942.5</v>
      </c>
      <c r="H32" s="22">
        <f>IF(G30&lt;ABS(G32),G30,G32)</f>
        <v>0</v>
      </c>
      <c r="I32" s="22"/>
      <c r="J32" s="22"/>
      <c r="K32" s="28"/>
      <c r="M32" s="11"/>
      <c r="N32" s="11"/>
      <c r="O32" s="12"/>
      <c r="P32" s="8" t="s">
        <v>47</v>
      </c>
      <c r="Q32" s="8" t="s">
        <v>48</v>
      </c>
    </row>
    <row r="33" spans="1:17" s="10" customFormat="1" ht="11.45" customHeight="1">
      <c r="A33" s="134"/>
      <c r="B33" s="135"/>
      <c r="C33" s="135"/>
      <c r="D33" s="135"/>
      <c r="E33" s="135"/>
      <c r="F33" s="136"/>
      <c r="G33" s="22">
        <f>IF(F12-J24&gt;=0,0.15*F12,G30-J20)</f>
        <v>-942.5</v>
      </c>
      <c r="H33" s="22"/>
      <c r="I33" s="22"/>
      <c r="J33" s="22"/>
      <c r="K33" s="28"/>
      <c r="M33" s="11"/>
      <c r="N33" s="11"/>
      <c r="O33" s="12"/>
      <c r="Q33" s="8" t="s">
        <v>49</v>
      </c>
    </row>
    <row r="34" spans="1:17" s="10" customFormat="1" ht="13.5" customHeight="1" thickBot="1">
      <c r="A34" s="134"/>
      <c r="B34" s="135"/>
      <c r="C34" s="135"/>
      <c r="D34" s="135"/>
      <c r="E34" s="135"/>
      <c r="F34" s="136"/>
      <c r="G34" s="31">
        <f>IF(F12-J24&gt;=0,G30-J20,0.15*F12)</f>
        <v>0</v>
      </c>
      <c r="H34" s="30">
        <f>MIN(ABS(G33),G34,G30)</f>
        <v>0</v>
      </c>
      <c r="I34" s="31"/>
      <c r="J34" s="31"/>
      <c r="K34" s="32"/>
      <c r="M34" s="11"/>
      <c r="N34" s="11"/>
      <c r="O34" s="12"/>
    </row>
    <row r="35" spans="1:17" s="10" customFormat="1" ht="13.15" customHeight="1">
      <c r="A35" s="134"/>
      <c r="B35" s="135"/>
      <c r="C35" s="135"/>
      <c r="D35" s="135"/>
      <c r="E35" s="135"/>
      <c r="F35" s="136"/>
      <c r="M35" s="11"/>
      <c r="N35" s="11"/>
      <c r="O35" s="12"/>
      <c r="P35" s="8" t="s">
        <v>50</v>
      </c>
      <c r="Q35" s="8" t="s">
        <v>51</v>
      </c>
    </row>
    <row r="36" spans="1:17" s="10" customFormat="1" ht="12.75" customHeight="1">
      <c r="A36" s="134"/>
      <c r="B36" s="135"/>
      <c r="C36" s="135"/>
      <c r="D36" s="135"/>
      <c r="E36" s="135"/>
      <c r="F36" s="136"/>
      <c r="M36" s="11"/>
      <c r="N36" s="11"/>
      <c r="O36" s="12"/>
      <c r="Q36" s="8" t="s">
        <v>52</v>
      </c>
    </row>
    <row r="37" spans="1:17" s="10" customFormat="1" ht="12.75" customHeight="1">
      <c r="A37" s="134"/>
      <c r="B37" s="135"/>
      <c r="C37" s="135"/>
      <c r="D37" s="135"/>
      <c r="E37" s="135"/>
      <c r="F37" s="136"/>
      <c r="M37" s="11"/>
      <c r="N37" s="11"/>
      <c r="O37" s="12"/>
      <c r="Q37" s="8" t="s">
        <v>53</v>
      </c>
    </row>
    <row r="38" spans="1:17" s="10" customFormat="1" ht="12.75" customHeight="1">
      <c r="A38" s="134"/>
      <c r="B38" s="135"/>
      <c r="C38" s="135"/>
      <c r="D38" s="135"/>
      <c r="E38" s="135"/>
      <c r="F38" s="136"/>
      <c r="M38" s="11"/>
      <c r="N38" s="11"/>
      <c r="O38" s="12"/>
    </row>
    <row r="39" spans="1:17" s="10" customFormat="1" ht="12.75" customHeight="1">
      <c r="A39" s="134"/>
      <c r="B39" s="135"/>
      <c r="C39" s="135"/>
      <c r="D39" s="135"/>
      <c r="E39" s="135"/>
      <c r="F39" s="136"/>
      <c r="M39" s="11"/>
      <c r="N39" s="11"/>
      <c r="O39" s="12"/>
      <c r="P39" s="8" t="s">
        <v>54</v>
      </c>
      <c r="Q39" s="8" t="s">
        <v>55</v>
      </c>
    </row>
    <row r="40" spans="1:17" s="10" customFormat="1">
      <c r="A40" s="134"/>
      <c r="B40" s="135"/>
      <c r="C40" s="135"/>
      <c r="D40" s="135"/>
      <c r="E40" s="135"/>
      <c r="F40" s="136"/>
      <c r="H40" s="8" t="s">
        <v>8</v>
      </c>
      <c r="M40" s="7" t="s">
        <v>56</v>
      </c>
      <c r="N40" s="7" t="s">
        <v>91</v>
      </c>
      <c r="O40" s="3" t="s">
        <v>4</v>
      </c>
    </row>
    <row r="41" spans="1:17" s="10" customFormat="1">
      <c r="A41" s="134"/>
      <c r="B41" s="135"/>
      <c r="C41" s="135"/>
      <c r="D41" s="135"/>
      <c r="E41" s="135"/>
      <c r="F41" s="136"/>
      <c r="H41" s="10">
        <f>IF((B8=H40),2,0)</f>
        <v>0</v>
      </c>
      <c r="I41" s="10">
        <f t="shared" ref="I41:I49" si="8">CHOOSE($H$44+1,M41,M51,M61,M71)</f>
        <v>0</v>
      </c>
      <c r="J41" s="10">
        <f t="shared" ref="J41:L49" si="9">CHOOSE($H$44+1,M41,M51,M61,M71)</f>
        <v>0</v>
      </c>
      <c r="K41" s="10">
        <f t="shared" si="9"/>
        <v>0</v>
      </c>
      <c r="L41" s="19">
        <f t="shared" si="9"/>
        <v>0</v>
      </c>
      <c r="M41" s="6">
        <v>0</v>
      </c>
      <c r="N41" s="6">
        <v>0</v>
      </c>
      <c r="O41" s="2">
        <v>0</v>
      </c>
      <c r="P41" s="8" t="s">
        <v>57</v>
      </c>
      <c r="Q41" s="8" t="s">
        <v>58</v>
      </c>
    </row>
    <row r="42" spans="1:17" s="10" customFormat="1">
      <c r="A42" s="134"/>
      <c r="B42" s="135"/>
      <c r="C42" s="135"/>
      <c r="D42" s="135"/>
      <c r="E42" s="135"/>
      <c r="F42" s="136"/>
      <c r="H42" s="8" t="s">
        <v>8</v>
      </c>
      <c r="I42" s="10">
        <f t="shared" si="8"/>
        <v>2975</v>
      </c>
      <c r="J42" s="10">
        <f t="shared" si="9"/>
        <v>2975</v>
      </c>
      <c r="K42" s="10">
        <f t="shared" si="9"/>
        <v>0</v>
      </c>
      <c r="L42" s="19">
        <f t="shared" si="9"/>
        <v>2.2599999999999999E-2</v>
      </c>
      <c r="M42" s="6">
        <v>2975</v>
      </c>
      <c r="N42" s="6">
        <v>0</v>
      </c>
      <c r="O42" s="4">
        <v>2.2599999999999999E-2</v>
      </c>
    </row>
    <row r="43" spans="1:17" s="10" customFormat="1">
      <c r="A43" s="134"/>
      <c r="B43" s="135"/>
      <c r="C43" s="135"/>
      <c r="D43" s="135"/>
      <c r="E43" s="135"/>
      <c r="F43" s="136"/>
      <c r="H43" s="10">
        <f>IF((B10=H42),1,0)</f>
        <v>0</v>
      </c>
      <c r="I43" s="10">
        <f t="shared" si="8"/>
        <v>5325</v>
      </c>
      <c r="J43" s="10">
        <f t="shared" si="9"/>
        <v>5325</v>
      </c>
      <c r="K43" s="10">
        <f t="shared" si="9"/>
        <v>53.11</v>
      </c>
      <c r="L43" s="19">
        <f t="shared" si="9"/>
        <v>3.2199999999999999E-2</v>
      </c>
      <c r="M43" s="6">
        <v>5325</v>
      </c>
      <c r="N43" s="6">
        <v>53.11</v>
      </c>
      <c r="O43" s="4">
        <v>3.2199999999999999E-2</v>
      </c>
      <c r="P43" s="8" t="s">
        <v>59</v>
      </c>
      <c r="Q43" s="8" t="s">
        <v>94</v>
      </c>
    </row>
    <row r="44" spans="1:17" s="10" customFormat="1" ht="36.6" customHeight="1">
      <c r="A44" s="134"/>
      <c r="B44" s="135"/>
      <c r="C44" s="135"/>
      <c r="D44" s="135"/>
      <c r="E44" s="135"/>
      <c r="F44" s="136"/>
      <c r="H44" s="10">
        <f>H43</f>
        <v>0</v>
      </c>
      <c r="I44" s="10">
        <f t="shared" si="8"/>
        <v>17275</v>
      </c>
      <c r="J44" s="10">
        <f t="shared" si="9"/>
        <v>17275</v>
      </c>
      <c r="K44" s="10">
        <f t="shared" si="9"/>
        <v>437.9</v>
      </c>
      <c r="L44" s="19">
        <f t="shared" si="9"/>
        <v>4.9099999999999998E-2</v>
      </c>
      <c r="M44" s="6">
        <v>17275</v>
      </c>
      <c r="N44" s="6">
        <v>437.9</v>
      </c>
      <c r="O44" s="4">
        <v>4.9099999999999998E-2</v>
      </c>
      <c r="Q44" s="8" t="s">
        <v>60</v>
      </c>
    </row>
    <row r="45" spans="1:17" s="10" customFormat="1">
      <c r="A45" s="134"/>
      <c r="B45" s="135"/>
      <c r="C45" s="135"/>
      <c r="D45" s="135"/>
      <c r="E45" s="135"/>
      <c r="F45" s="136"/>
      <c r="H45" s="10">
        <f>N87/H48</f>
        <v>73.07692307692308</v>
      </c>
      <c r="I45" s="10">
        <f t="shared" si="8"/>
        <v>25025</v>
      </c>
      <c r="J45" s="10">
        <f t="shared" si="9"/>
        <v>25025</v>
      </c>
      <c r="K45" s="10">
        <f t="shared" si="9"/>
        <v>818.43</v>
      </c>
      <c r="L45" s="19">
        <f t="shared" si="9"/>
        <v>6.2E-2</v>
      </c>
      <c r="M45" s="6">
        <v>25025</v>
      </c>
      <c r="N45" s="6">
        <v>818.43</v>
      </c>
      <c r="O45" s="4">
        <v>6.2E-2</v>
      </c>
    </row>
    <row r="46" spans="1:17" s="10" customFormat="1">
      <c r="A46" s="134"/>
      <c r="B46" s="135"/>
      <c r="C46" s="135"/>
      <c r="D46" s="135"/>
      <c r="E46" s="135"/>
      <c r="F46" s="136"/>
      <c r="H46" s="15">
        <f>IF(H47&lt;0,0,H49)</f>
        <v>27388.525759999997</v>
      </c>
      <c r="I46" s="10">
        <f t="shared" si="8"/>
        <v>31775</v>
      </c>
      <c r="J46" s="10">
        <f t="shared" si="9"/>
        <v>31775</v>
      </c>
      <c r="K46" s="10">
        <f t="shared" si="9"/>
        <v>1236.93</v>
      </c>
      <c r="L46" s="19">
        <f t="shared" si="9"/>
        <v>6.59E-2</v>
      </c>
      <c r="M46" s="6">
        <v>31775</v>
      </c>
      <c r="N46" s="6">
        <v>1236.93</v>
      </c>
      <c r="O46" s="4">
        <v>6.59E-2</v>
      </c>
      <c r="P46" s="8" t="s">
        <v>61</v>
      </c>
      <c r="Q46" s="8" t="s">
        <v>62</v>
      </c>
    </row>
    <row r="47" spans="1:17" s="10" customFormat="1">
      <c r="A47" s="102"/>
      <c r="B47" s="103"/>
      <c r="C47" s="103"/>
      <c r="D47" s="50"/>
      <c r="E47" s="50"/>
      <c r="F47" s="49" t="s">
        <v>149</v>
      </c>
      <c r="H47" s="10">
        <f>F15-(H45*B6)-H12-F18-F17</f>
        <v>1053.4048369230768</v>
      </c>
      <c r="I47" s="10">
        <f t="shared" si="8"/>
        <v>59675</v>
      </c>
      <c r="J47" s="10">
        <f t="shared" si="9"/>
        <v>59675</v>
      </c>
      <c r="K47" s="10">
        <f t="shared" si="9"/>
        <v>3075.54</v>
      </c>
      <c r="L47" s="19">
        <f t="shared" si="9"/>
        <v>6.9500000000000006E-2</v>
      </c>
      <c r="M47" s="6">
        <v>59675</v>
      </c>
      <c r="N47" s="6">
        <v>3075.54</v>
      </c>
      <c r="O47" s="5">
        <v>6.9500000000000006E-2</v>
      </c>
      <c r="Q47" s="8" t="s">
        <v>63</v>
      </c>
    </row>
    <row r="48" spans="1:17" s="10" customFormat="1">
      <c r="A48" s="72"/>
      <c r="B48" s="72"/>
      <c r="C48" s="72"/>
      <c r="H48" s="18">
        <f>IF(B$8="b",26,IF(B$8="m",12,1))</f>
        <v>26</v>
      </c>
      <c r="I48" s="10">
        <f t="shared" si="8"/>
        <v>999999</v>
      </c>
      <c r="J48" s="10">
        <f t="shared" si="9"/>
        <v>999999</v>
      </c>
      <c r="K48" s="10">
        <f t="shared" si="9"/>
        <v>999999</v>
      </c>
      <c r="L48" s="19">
        <f t="shared" si="9"/>
        <v>1</v>
      </c>
      <c r="M48" s="6">
        <v>999999</v>
      </c>
      <c r="N48" s="6">
        <v>999999</v>
      </c>
      <c r="O48" s="5">
        <v>1</v>
      </c>
      <c r="P48" s="8" t="s">
        <v>137</v>
      </c>
      <c r="Q48" s="8" t="s">
        <v>64</v>
      </c>
    </row>
    <row r="49" spans="1:17" s="10" customFormat="1">
      <c r="H49" s="10">
        <f>H47*H48</f>
        <v>27388.525759999997</v>
      </c>
      <c r="I49" s="10">
        <f t="shared" si="8"/>
        <v>999999</v>
      </c>
      <c r="J49" s="10">
        <f t="shared" si="9"/>
        <v>999999</v>
      </c>
      <c r="K49" s="10">
        <f t="shared" si="9"/>
        <v>999999</v>
      </c>
      <c r="L49" s="19">
        <f t="shared" si="9"/>
        <v>1</v>
      </c>
      <c r="M49" s="6">
        <v>999999</v>
      </c>
      <c r="N49" s="6">
        <v>999999</v>
      </c>
      <c r="O49">
        <v>1</v>
      </c>
      <c r="Q49" s="8" t="s">
        <v>65</v>
      </c>
    </row>
    <row r="50" spans="1:17" s="10" customFormat="1">
      <c r="M50" s="7" t="s">
        <v>66</v>
      </c>
      <c r="N50" s="7" t="s">
        <v>91</v>
      </c>
      <c r="O50" s="1" t="s">
        <v>18</v>
      </c>
      <c r="P50" s="8" t="s">
        <v>138</v>
      </c>
      <c r="Q50" s="8" t="s">
        <v>67</v>
      </c>
    </row>
    <row r="51" spans="1:17" s="10" customFormat="1">
      <c r="D51" s="72"/>
      <c r="E51" s="72"/>
      <c r="F51" s="72"/>
      <c r="M51" s="6">
        <v>0</v>
      </c>
      <c r="N51" s="6">
        <v>0</v>
      </c>
      <c r="O51" s="2">
        <v>0</v>
      </c>
      <c r="Q51" s="8" t="s">
        <v>68</v>
      </c>
    </row>
    <row r="52" spans="1:17" s="10" customFormat="1">
      <c r="M52" s="6">
        <v>7100</v>
      </c>
      <c r="N52" s="6">
        <v>0</v>
      </c>
      <c r="O52" s="4">
        <v>2.2599999999999999E-2</v>
      </c>
      <c r="P52" s="8" t="s">
        <v>139</v>
      </c>
      <c r="Q52" s="8" t="s">
        <v>140</v>
      </c>
    </row>
    <row r="53" spans="1:17" s="10" customFormat="1">
      <c r="M53" s="6">
        <v>10300</v>
      </c>
      <c r="N53" s="6">
        <v>72.319999999999993</v>
      </c>
      <c r="O53" s="4">
        <v>3.2199999999999999E-2</v>
      </c>
      <c r="Q53" s="8" t="s">
        <v>69</v>
      </c>
    </row>
    <row r="54" spans="1:17" s="10" customFormat="1">
      <c r="M54" s="6">
        <v>25650</v>
      </c>
      <c r="N54" s="6">
        <v>566.59</v>
      </c>
      <c r="O54" s="4">
        <v>4.9099999999999998E-2</v>
      </c>
      <c r="P54" s="8" t="s">
        <v>141</v>
      </c>
      <c r="Q54" s="8" t="s">
        <v>70</v>
      </c>
    </row>
    <row r="55" spans="1:17" s="10" customFormat="1">
      <c r="G55" s="138" t="s">
        <v>109</v>
      </c>
      <c r="H55" s="138"/>
      <c r="I55" s="138"/>
      <c r="J55"/>
      <c r="K55" s="55" t="s">
        <v>119</v>
      </c>
      <c r="M55" s="6">
        <v>39900</v>
      </c>
      <c r="N55" s="6">
        <v>1266.27</v>
      </c>
      <c r="O55" s="4">
        <v>6.2E-2</v>
      </c>
      <c r="Q55" s="8" t="s">
        <v>68</v>
      </c>
    </row>
    <row r="56" spans="1:17" s="10" customFormat="1">
      <c r="G56" s="52"/>
      <c r="H56" s="52"/>
      <c r="I56" s="52"/>
      <c r="J56"/>
      <c r="K56" s="56"/>
      <c r="M56" s="6">
        <v>49500</v>
      </c>
      <c r="N56" s="6">
        <v>1861.47</v>
      </c>
      <c r="O56" s="4">
        <v>6.59E-2</v>
      </c>
      <c r="P56" s="8" t="s">
        <v>142</v>
      </c>
      <c r="Q56" s="8" t="s">
        <v>71</v>
      </c>
    </row>
    <row r="57" spans="1:17" s="10" customFormat="1">
      <c r="G57" t="s">
        <v>110</v>
      </c>
      <c r="H57" t="s">
        <v>111</v>
      </c>
      <c r="I57" t="s">
        <v>112</v>
      </c>
      <c r="J57"/>
      <c r="K57" s="56"/>
      <c r="M57" s="6">
        <v>65650</v>
      </c>
      <c r="N57" s="6">
        <v>2925.76</v>
      </c>
      <c r="O57" s="5">
        <v>6.9500000000000006E-2</v>
      </c>
      <c r="Q57" s="8" t="s">
        <v>68</v>
      </c>
    </row>
    <row r="58" spans="1:17" s="10" customFormat="1" ht="15" customHeight="1">
      <c r="A58"/>
      <c r="B58"/>
      <c r="C58"/>
      <c r="G58" s="58">
        <f>IF(B8="B",H63,IF(B8="M",H64,"Pay Freq must be 'B' or 'M'"))</f>
        <v>26</v>
      </c>
      <c r="H58" s="58">
        <f>IF(B10="M",H67,IF(B10="S",H68,"Marital Status must be 'M' or 'S'"))</f>
        <v>6200</v>
      </c>
      <c r="I58" s="58">
        <f>IF(B10="M",H71*2,IF(B10="S",H71,"Marital Status must be 'M' or 'S'"))</f>
        <v>128</v>
      </c>
      <c r="J58"/>
      <c r="K58" s="57">
        <f>(((((F19*G58)-H58)*0.015)-I58)/G58)</f>
        <v>8.3972263999999974</v>
      </c>
      <c r="M58" s="6">
        <v>9999999</v>
      </c>
      <c r="N58" s="6">
        <v>9999999</v>
      </c>
      <c r="O58" s="5">
        <v>1</v>
      </c>
      <c r="P58" s="8" t="s">
        <v>143</v>
      </c>
      <c r="Q58" s="8" t="s">
        <v>72</v>
      </c>
    </row>
    <row r="59" spans="1:17">
      <c r="D59" s="10"/>
      <c r="E59" s="10"/>
      <c r="F59" s="10"/>
      <c r="M59" s="6">
        <v>999999</v>
      </c>
      <c r="N59" s="6">
        <v>999999</v>
      </c>
      <c r="O59">
        <v>1</v>
      </c>
      <c r="Q59" s="1" t="s">
        <v>144</v>
      </c>
    </row>
    <row r="60" spans="1:17" ht="15" customHeight="1">
      <c r="D60" s="10"/>
      <c r="E60" s="10"/>
      <c r="F60" s="10"/>
      <c r="G60" s="132" t="s">
        <v>113</v>
      </c>
      <c r="H60" s="132"/>
      <c r="I60" s="53"/>
      <c r="M60" s="7"/>
      <c r="N60" s="7"/>
      <c r="O60" s="3"/>
      <c r="Q60" s="1" t="s">
        <v>73</v>
      </c>
    </row>
    <row r="61" spans="1:17">
      <c r="G61" s="54"/>
      <c r="H61" s="54"/>
      <c r="I61" s="54"/>
      <c r="M61" s="6"/>
      <c r="N61" s="6"/>
      <c r="O61" s="2"/>
      <c r="Q61" s="1" t="s">
        <v>74</v>
      </c>
    </row>
    <row r="62" spans="1:17">
      <c r="G62" s="133" t="s">
        <v>114</v>
      </c>
      <c r="H62" s="133"/>
      <c r="I62" s="54"/>
      <c r="M62" s="6"/>
      <c r="N62" s="6"/>
      <c r="O62" s="4"/>
      <c r="Q62" s="1" t="s">
        <v>75</v>
      </c>
    </row>
    <row r="63" spans="1:17">
      <c r="G63" t="s">
        <v>115</v>
      </c>
      <c r="H63">
        <v>26</v>
      </c>
      <c r="I63" s="54"/>
      <c r="M63" s="6"/>
      <c r="N63" s="6"/>
      <c r="O63" s="4"/>
      <c r="Q63" s="1" t="s">
        <v>76</v>
      </c>
    </row>
    <row r="64" spans="1:17">
      <c r="G64" t="s">
        <v>116</v>
      </c>
      <c r="H64">
        <v>12</v>
      </c>
      <c r="I64" s="54"/>
      <c r="M64" s="6"/>
      <c r="N64" s="6"/>
      <c r="O64" s="4"/>
    </row>
    <row r="65" spans="7:17">
      <c r="I65" s="54"/>
      <c r="M65" s="6"/>
      <c r="N65" s="6"/>
      <c r="O65" s="4"/>
      <c r="P65" s="1" t="s">
        <v>77</v>
      </c>
      <c r="Q65" s="1" t="s">
        <v>78</v>
      </c>
    </row>
    <row r="66" spans="7:17">
      <c r="G66" s="137" t="s">
        <v>117</v>
      </c>
      <c r="H66" s="137"/>
      <c r="I66" s="54"/>
      <c r="M66" s="6"/>
      <c r="N66" s="6"/>
      <c r="O66" s="4"/>
    </row>
    <row r="67" spans="7:17">
      <c r="G67" t="s">
        <v>18</v>
      </c>
      <c r="H67" s="6">
        <v>12400</v>
      </c>
      <c r="M67" s="6"/>
      <c r="N67" s="6"/>
      <c r="O67" s="5"/>
      <c r="P67" s="1" t="s">
        <v>79</v>
      </c>
      <c r="Q67" s="1" t="s">
        <v>80</v>
      </c>
    </row>
    <row r="68" spans="7:17">
      <c r="G68" t="s">
        <v>4</v>
      </c>
      <c r="H68" s="6">
        <v>6200</v>
      </c>
      <c r="M68" s="6"/>
      <c r="N68" s="6"/>
      <c r="O68" s="5"/>
    </row>
    <row r="69" spans="7:17">
      <c r="H69" s="6"/>
      <c r="M69" s="6"/>
      <c r="N69" s="6"/>
      <c r="P69" t="s">
        <v>85</v>
      </c>
      <c r="Q69" t="s">
        <v>86</v>
      </c>
    </row>
    <row r="70" spans="7:17">
      <c r="G70" s="137" t="s">
        <v>112</v>
      </c>
      <c r="H70" s="137"/>
      <c r="M70" s="7"/>
      <c r="N70" s="7"/>
      <c r="O70" s="3"/>
      <c r="Q70" t="s">
        <v>87</v>
      </c>
    </row>
    <row r="71" spans="7:17">
      <c r="G71" t="s">
        <v>118</v>
      </c>
      <c r="H71" s="6">
        <v>128</v>
      </c>
      <c r="M71" s="6"/>
      <c r="N71" s="6"/>
      <c r="O71" s="2"/>
    </row>
    <row r="72" spans="7:17">
      <c r="M72" s="6"/>
      <c r="N72" s="6"/>
      <c r="O72" s="4"/>
      <c r="P72" t="s">
        <v>88</v>
      </c>
      <c r="Q72" t="s">
        <v>89</v>
      </c>
    </row>
    <row r="73" spans="7:17">
      <c r="M73" s="6"/>
      <c r="N73" s="6"/>
      <c r="O73" s="4"/>
      <c r="Q73" t="s">
        <v>90</v>
      </c>
    </row>
    <row r="74" spans="7:17">
      <c r="M74" s="6"/>
      <c r="N74" s="6"/>
      <c r="O74" s="4"/>
    </row>
    <row r="75" spans="7:17">
      <c r="M75" s="6"/>
      <c r="N75" s="6"/>
      <c r="O75" s="4"/>
    </row>
    <row r="76" spans="7:17">
      <c r="M76" s="6"/>
      <c r="N76" s="6"/>
      <c r="O76" s="4"/>
    </row>
    <row r="77" spans="7:17" ht="15" customHeight="1">
      <c r="M77" s="6"/>
      <c r="N77" s="6"/>
      <c r="O77" s="5"/>
    </row>
    <row r="78" spans="7:17">
      <c r="M78" s="6"/>
      <c r="N78" s="6"/>
      <c r="O78" s="5"/>
    </row>
    <row r="79" spans="7:17">
      <c r="M79" s="6"/>
      <c r="N79" s="6"/>
      <c r="O79" s="4"/>
    </row>
    <row r="80" spans="7:17">
      <c r="O80" s="2"/>
    </row>
    <row r="81" spans="13:15">
      <c r="O81" s="2"/>
    </row>
    <row r="82" spans="13:15">
      <c r="M82" s="23" t="s">
        <v>81</v>
      </c>
      <c r="N82" t="s">
        <v>82</v>
      </c>
      <c r="O82" s="2"/>
    </row>
    <row r="83" spans="13:15">
      <c r="O83" s="2"/>
    </row>
    <row r="84" spans="13:15">
      <c r="M84" t="s">
        <v>92</v>
      </c>
      <c r="N84">
        <v>3950</v>
      </c>
      <c r="O84" s="2"/>
    </row>
    <row r="85" spans="13:15">
      <c r="M85" t="s">
        <v>83</v>
      </c>
      <c r="O85" s="2"/>
    </row>
    <row r="86" spans="13:15">
      <c r="O86" s="2"/>
    </row>
    <row r="87" spans="13:15">
      <c r="M87" t="s">
        <v>93</v>
      </c>
      <c r="N87">
        <v>1900</v>
      </c>
      <c r="O87" s="2"/>
    </row>
    <row r="88" spans="13:15">
      <c r="M88" t="s">
        <v>84</v>
      </c>
    </row>
  </sheetData>
  <sheetProtection password="CC2A" sheet="1" objects="1" scenarios="1" selectLockedCells="1"/>
  <mergeCells count="17">
    <mergeCell ref="G60:H60"/>
    <mergeCell ref="G62:H62"/>
    <mergeCell ref="A32:F46"/>
    <mergeCell ref="G66:H66"/>
    <mergeCell ref="G70:H70"/>
    <mergeCell ref="G55:I55"/>
    <mergeCell ref="A1:F1"/>
    <mergeCell ref="A7:B7"/>
    <mergeCell ref="A9:B9"/>
    <mergeCell ref="A11:B11"/>
    <mergeCell ref="A16:B16"/>
    <mergeCell ref="A28:B28"/>
    <mergeCell ref="I22:J22"/>
    <mergeCell ref="I18:J18"/>
    <mergeCell ref="B3:D3"/>
    <mergeCell ref="B4:D4"/>
    <mergeCell ref="A21:B21"/>
  </mergeCells>
  <phoneticPr fontId="0" type="noConversion"/>
  <dataValidations count="4">
    <dataValidation type="list" showInputMessage="1" showErrorMessage="1" sqref="B18">
      <formula1>"Y, N"</formula1>
    </dataValidation>
    <dataValidation type="list" showInputMessage="1" showErrorMessage="1" sqref="B10">
      <formula1>"S, M"</formula1>
    </dataValidation>
    <dataValidation type="list" showInputMessage="1" showErrorMessage="1" sqref="B8">
      <formula1>"A, B, M"</formula1>
    </dataValidation>
    <dataValidation type="whole" operator="greaterThan" showInputMessage="1" showErrorMessage="1" sqref="B6">
      <formula1>-1</formula1>
    </dataValidation>
  </dataValidations>
  <printOptions horizontalCentered="1" gridLinesSet="0"/>
  <pageMargins left="0.25" right="0.25" top="0.75" bottom="0.75" header="0.3" footer="0.3"/>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PAYCL2013a</vt:lpstr>
      <vt:lpstr>GRW</vt:lpstr>
      <vt:lpstr>PAYCL2013a!Print_Area</vt:lpstr>
      <vt:lpstr>Print_Area_MI</vt:lpstr>
      <vt:lpst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1996 Net Pay Computation</dc:title>
  <dc:creator>Preferred Customer</dc:creator>
  <cp:lastModifiedBy>Hartley, Ramona</cp:lastModifiedBy>
  <cp:lastPrinted>2014-03-25T20:46:38Z</cp:lastPrinted>
  <dcterms:created xsi:type="dcterms:W3CDTF">1997-11-14T16:41:47Z</dcterms:created>
  <dcterms:modified xsi:type="dcterms:W3CDTF">2014-06-11T21:45:47Z</dcterms:modified>
</cp:coreProperties>
</file>